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1710" windowWidth="12120" windowHeight="3020" activeTab="5"/>
  </bookViews>
  <sheets>
    <sheet name="สรุปแผน" sheetId="1" r:id="rId1"/>
    <sheet name="ยา" sheetId="2" r:id="rId2"/>
    <sheet name="วัสดุการแพทย์" sheetId="3" r:id="rId3"/>
    <sheet name="วมย" sheetId="4" r:id="rId4"/>
    <sheet name="วัสดุวิทยาศาสตร์" sheetId="5" r:id="rId5"/>
    <sheet name="วัสดุทั่วไป" sheetId="6" r:id="rId6"/>
    <sheet name="Sheet1" sheetId="7" r:id="rId7"/>
    <sheet name="ยา สปสช." sheetId="8" r:id="rId8"/>
  </sheets>
  <definedNames>
    <definedName name="_xlnm._FilterDatabase" localSheetId="6" hidden="1">'Sheet1'!$A$2:$L$2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มูลค่ายาสนับสนุน 10 เดือน ยังไม่ได้รวมในค่ายา</t>
        </r>
      </text>
    </comment>
    <comment ref="D2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ยอดประมาณการ 1.03 เท่า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ASUS</author>
  </authors>
  <commentList>
    <comment ref="E13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ไม่อยู่ในกรอบ รพช. ใช้งบโครงการ PP</t>
        </r>
      </text>
    </comment>
    <comment ref="P13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ไม่มีราคากลาง</t>
        </r>
      </text>
    </comment>
    <comment ref="L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P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11.5</t>
        </r>
      </text>
    </comment>
    <comment ref="P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250 เคยซื้อ 162-180/1000's</t>
        </r>
      </text>
    </comment>
    <comment ref="P18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267.50  มีเสนอ 140-141/bott</t>
        </r>
      </text>
    </comment>
    <comment ref="P1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214</t>
        </r>
      </text>
    </comment>
    <comment ref="P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5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27.82  เคยซื้อได้ 17.879/vial</t>
        </r>
      </text>
    </comment>
    <comment ref="P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14.01</t>
        </r>
      </text>
    </comment>
    <comment ref="P6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
ซื้อได้ 440</t>
        </r>
      </text>
    </comment>
    <comment ref="P7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59.92</t>
        </r>
      </text>
    </comment>
    <comment ref="P8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8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16.1</t>
        </r>
      </text>
    </comment>
    <comment ref="P9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ซื้อ 143.82/100's</t>
        </r>
      </text>
    </comment>
    <comment ref="P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856  เฉลี่ย  347.4864</t>
        </r>
      </text>
    </comment>
    <comment ref="P9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 ซื้อได้ 240/500's</t>
        </r>
      </text>
    </comment>
    <comment ref="P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
ซื้อได้ 120/1000's</t>
        </r>
      </text>
    </comment>
    <comment ref="P10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400   ซื้อได้ 300
สืบ 185/1000 เม็ด</t>
        </r>
      </text>
    </comment>
    <comment ref="P1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เคยซื้อ 15.28 TP Drug
7Star เสนอ 17/bott</t>
        </r>
      </text>
    </comment>
    <comment ref="P1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กลาง 870</t>
        </r>
      </text>
    </comment>
    <comment ref="P1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14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430  ซื้อได้ 184.49</t>
        </r>
      </text>
    </comment>
    <comment ref="P1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115 เคยซื้อได้ 75</t>
        </r>
      </text>
    </comment>
    <comment ref="P17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51.36</t>
        </r>
      </text>
    </comment>
    <comment ref="P19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168</t>
        </r>
      </text>
    </comment>
    <comment ref="P20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2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กลาง ซื้อ 6.6</t>
        </r>
      </text>
    </comment>
    <comment ref="P2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2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2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62.06 ซื้อได้ 18.19</t>
        </r>
      </text>
    </comment>
    <comment ref="P27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317.79</t>
        </r>
      </text>
    </comment>
    <comment ref="P2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374.5 ซื้อได้ 330</t>
        </r>
      </text>
    </comment>
    <comment ref="P30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30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 294.25 เคยซื้อได้ 251.7742</t>
        </r>
      </text>
    </comment>
    <comment ref="P3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755  ซื่อได้ 389</t>
        </r>
      </text>
    </comment>
    <comment ref="P18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61</t>
        </r>
      </text>
    </comment>
    <comment ref="E22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เผื่อไม่มีโครงการ</t>
        </r>
      </text>
    </comment>
    <comment ref="E36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Inpacpharma 428/100x10's
สยามเมดิแคร์ 250/50x10's</t>
        </r>
      </text>
    </comment>
    <comment ref="E1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12.84/60ml</t>
        </r>
      </text>
    </comment>
    <comment ref="E2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350/1000's</t>
        </r>
      </text>
    </comment>
    <comment ref="E26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6.42/60 ml</t>
        </r>
      </text>
    </comment>
    <comment ref="E1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GIS 3.5/Amp</t>
        </r>
      </text>
    </comment>
    <comment ref="E1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ส่วนเกินจากสนับสนุน</t>
        </r>
      </text>
    </comment>
    <comment ref="E1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นอกกรอบ เบิกจาก รพ.พระศรีฯ</t>
        </r>
      </text>
    </comment>
    <comment ref="P2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200.09</t>
        </r>
      </text>
    </comment>
    <comment ref="E3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SPS 195/100's  สอบเขต 60 ศก 170/100's   21 ก.ย.60-20 ก.ย.61
วรัญญา 061-5642659</t>
        </r>
      </text>
    </comment>
    <comment ref="E5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พรอส ฟาร์มา 28.89/vial 0360-0363
สอบเขต มุก60 GED(Zuellig) 18.58/vial
21/9/60-21/9/61
089-2167850 พิศิษฏ์
</t>
        </r>
      </text>
    </comment>
    <comment ref="P3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 เคยซื้อได้ 96
</t>
        </r>
      </text>
    </comment>
    <comment ref="P37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364/100's เคยซื้อได้ 110/100's</t>
        </r>
      </text>
    </comment>
    <comment ref="P3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240/100's  เคยซื้อได้ 190/100's</t>
        </r>
      </text>
    </comment>
    <comment ref="E30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เข้าเกณฑ์ e-Bidding
สภากาชาด 260/vial รวมค่าขนส่งแล้ว สั่งครั้งละไม่ต่ำกว่า 20 ขวด เครดิต 30 วัน</t>
        </r>
      </text>
    </comment>
    <comment ref="E3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เข้าเกณฑ์ e-Bidding สอบเขต ศก60 60dose ซิลลิค 486.85/bott</t>
        </r>
      </text>
    </comment>
    <comment ref="Q48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ยาทั่วไป</t>
        </r>
      </text>
    </comment>
    <comment ref="E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60 รพศ.ไม่ทางการ DKSH 2,630.06/6vial</t>
        </r>
      </text>
    </comment>
    <comment ref="E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รพศ.ไม่ทางการTNP 8.2/bott</t>
        </r>
      </text>
    </comment>
    <comment ref="E3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60 รพศ.ไม่ทางการ Cosma 5,600 Vial</t>
        </r>
      </text>
    </comment>
    <comment ref="E14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รพศ.ไม่ทางการ ATC 60  27/via</t>
        </r>
      </text>
    </comment>
    <comment ref="E20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60 รพศ.ไม่ทางการ Global 290/1000's</t>
        </r>
      </text>
    </comment>
    <comment ref="E27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60 รพศ.ไม่ทางการ Global 240/500's</t>
        </r>
      </text>
    </comment>
    <comment ref="E27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60 รพศ.ไม่ทางการ ซิลลิค 347.75/100's </t>
        </r>
      </text>
    </comment>
    <comment ref="R30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สั่งแล้ว 28/09/2560</t>
        </r>
      </text>
    </comment>
    <comment ref="E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ศก60 DKSH 556.4/6vial  21 ก.ย.60-20 ก.ย.61
พรรณิภา 063-6626424</t>
        </r>
      </text>
    </comment>
    <comment ref="E1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ศก60 CPL 375/100x10's 21 ก.ย.60-20 ก.ย.61
กุลธิดา 081-9474509</t>
        </r>
      </text>
    </comment>
    <comment ref="E15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ศก60 UTP 243.9/50x10's  21 ก.ย.60-20 ก.ย.61</t>
        </r>
      </text>
    </comment>
    <comment ref="E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ยโส60 TNP 13.85/240 ml สัญญา 30 ส.ค.60-30 ส.ค.61</t>
        </r>
      </text>
    </comment>
    <comment ref="E2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ยโส60 TNP 3.70/28's  สัญญา 30 ส.ค.60-30 ส.ค.61</t>
        </r>
      </text>
    </comment>
    <comment ref="E18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ยโส60 TNP 150/500's  สัญญา 30 ส.ค.60-30 ส.ค.61</t>
        </r>
      </text>
    </comment>
    <comment ref="E19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ยโส60 Berlin 43/100ml สัญญา 30 ส.ค.60-30 ส.ค.61</t>
        </r>
      </text>
    </comment>
    <comment ref="E25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ยโส60 TNP 200/1000's  สัญญา 30 ส.ค.60-30 ส.ค.61</t>
        </r>
      </text>
    </comment>
    <comment ref="E1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อำนาจ60 V&amp;V 26/bott
21/9/60-20/9/61</t>
        </r>
      </text>
    </comment>
    <comment ref="E16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อำนาจ60 Thai Otsuka 31/bott
21/9/60-20/9/61
084-438-3431 ดิเรก</t>
        </r>
      </text>
    </comment>
    <comment ref="E32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อำนาจ60 V&amp;V 14.75/bott
21/9/60-20/9/61</t>
        </r>
      </text>
    </comment>
    <comment ref="E32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อำนาจ60 GHP 30.80/bott
21/9/60-21/9/61</t>
        </r>
      </text>
    </comment>
    <comment ref="E37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อำนาจ60 V&amp;V 14.75/bott
21/9/60-20/9/61</t>
        </r>
      </text>
    </comment>
    <comment ref="E3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มุก60 สหแพทย์ 71.69/10x10's
21/9/60-21/9/61
088-5618794 รวีวรรณ</t>
        </r>
      </text>
    </comment>
    <comment ref="E18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 Moderm Pharma 111.5/50x10's</t>
        </r>
      </text>
    </comment>
    <comment ref="E35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 Condrugs 680/50x10's</t>
        </r>
      </text>
    </comment>
    <comment ref="E10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 Global Pharm 120/1000's</t>
        </r>
      </text>
    </comment>
    <comment ref="E10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 Global Pharm 150/1000's</t>
        </r>
      </text>
    </comment>
    <comment ref="E9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 Polipharm 240/50x10's</t>
        </r>
      </text>
    </comment>
    <comment ref="E4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 Baxter 833/bag</t>
        </r>
      </text>
    </comment>
    <comment ref="E42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45/ลูก</t>
        </r>
      </text>
    </comment>
    <comment ref="E20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B.L.Hau 642/500's</t>
        </r>
      </text>
    </comment>
    <comment ref="E46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อำนาจ60 ภิญโญ
2.38/vial
21/9/60-20/9/61
ลัดดาวัลย์ 084-745-4229</t>
        </r>
      </text>
    </comment>
    <comment ref="E33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60 รพศ.ไม่ทางการ DKSH 379.85/30's</t>
        </r>
      </text>
    </comment>
    <comment ref="O3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สัญญาสอบเขต 3200 ขวด</t>
        </r>
      </text>
    </comment>
    <comment ref="E2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CPT มีใน SubStock 2x500's Exp. 09/2018</t>
        </r>
      </text>
    </comment>
    <comment ref="E31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Greater pharma 60/bott
</t>
        </r>
      </text>
    </comment>
    <comment ref="E17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ภิญโญ ขอปรับราคาจาก 38.5 เป็น 45/vial ณ 10/10/2560&gt;&gt;48</t>
        </r>
      </text>
    </comment>
    <comment ref="V1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สั่ง Glipizide 600x500's 68/50x10's 0461</t>
        </r>
      </text>
    </comment>
    <comment ref="P2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570</t>
        </r>
      </text>
    </comment>
    <comment ref="P3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ซื้อได้ 73</t>
        </r>
      </text>
    </comment>
    <comment ref="L1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รวม ซัลเฟต</t>
        </r>
      </text>
    </comment>
    <comment ref="P31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
38.52 ซื้อได้</t>
        </r>
      </text>
    </comment>
    <comment ref="P18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= ราคากลาง, GPO</t>
        </r>
      </text>
    </comment>
    <comment ref="O1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T3</t>
        </r>
      </text>
    </comment>
    <comment ref="N30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ตรวจสอบคงคลังจริงรึไม่</t>
        </r>
      </text>
    </comment>
    <comment ref="O3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T3,T4</t>
        </r>
      </text>
    </comment>
    <comment ref="R8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1300 1061 16.40/amp</t>
        </r>
      </text>
    </comment>
    <comment ref="E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BLH 16.05/vial</t>
        </r>
      </text>
    </comment>
    <comment ref="E3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Helol 235.4/bott  15/8/62</t>
        </r>
      </text>
    </comment>
    <comment ref="E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UNISON ,medline 0161-0164</t>
        </r>
      </text>
    </comment>
    <comment ref="R2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0962  สำหรับ 2 case เดิม</t>
        </r>
      </text>
    </comment>
    <comment ref="E8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ส.เจริญ เสนอ 345/50x6's</t>
        </r>
      </text>
    </comment>
    <comment ref="E40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ตัดออก เป็นรายการซ้ำกับยาหม่องน้ำ 8 cc.</t>
        </r>
      </text>
    </comment>
    <comment ref="E4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ตัดออกจากรายการปีงบ 63</t>
        </r>
      </text>
    </comment>
    <comment ref="E4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ตัดออกจากรายการปีงบ 63</t>
        </r>
      </text>
    </comment>
    <comment ref="E4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ตัดออกจากรายการปีงบ 63</t>
        </r>
      </text>
    </comment>
    <comment ref="K1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รวม ซัลเฟต</t>
        </r>
      </text>
    </comment>
    <comment ref="J1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check again?</t>
        </r>
      </text>
    </comment>
    <comment ref="N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P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GPO 38.52/100's</t>
        </r>
      </text>
    </comment>
    <comment ref="P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10.76/bott</t>
        </r>
      </text>
    </comment>
    <comment ref="P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=iราคากลาง</t>
        </r>
      </text>
    </comment>
    <comment ref="P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=ราคากลาง</t>
        </r>
      </text>
    </comment>
    <comment ref="P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 7.2/หลอด</t>
        </r>
      </text>
    </comment>
    <comment ref="P3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250/500งห</t>
        </r>
      </text>
    </comment>
    <comment ref="P9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37.789/vial, 27.55/vial</t>
        </r>
      </text>
    </comment>
    <comment ref="E4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CPT 45/1000's</t>
        </r>
      </text>
    </comment>
    <comment ref="E4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62-63 Cosma 62.00/vial
สอบเขต มุก60 Berlin 64/vial
21/9/60-21/9/61
086-8536796 วัลยา</t>
        </r>
      </text>
    </comment>
    <comment ref="E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สอบเขต ศก60 โอสถอินเตอร์ 173/1000's
21 ก.ย.60-20 ก.ย.61
รัศมี 087-8692441
สืบ62 โอสถอินเตอร์ 162/100x10's</t>
        </r>
      </text>
    </comment>
    <comment ref="E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TNP 7.2/หลอด แถมยา 3%
สอบเขต ยโส60 CPT 8.35/หลอด  สัญญา 30 ส.ค.60-30 ส.ค.61
 TNP 8/25 gm</t>
        </r>
      </text>
    </comment>
    <comment ref="E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สหแพทย์ 127/50x10's  s5%
สืบ60 สหแพทย์ 137/50x10's
สืบุ62 สหแพทย์ 133.75/50x10's</t>
        </r>
      </text>
    </comment>
    <comment ref="P4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 45/1000งห</t>
        </r>
      </text>
    </comment>
    <comment ref="E46" authorId="0">
      <text>
        <r>
          <rPr>
            <sz val="9"/>
            <rFont val="Tahoma"/>
            <family val="2"/>
          </rPr>
          <t xml:space="preserve">สืบ
 62 ImpacPharma/DKSH 71.69/bott&gt;&gt;&gt;69.55/bott
Helol Budecort-200  เสนอ 68.48/bott 301062
</t>
        </r>
      </text>
    </comment>
    <comment ref="E48" authorId="0">
      <text>
        <r>
          <rPr>
            <b/>
            <sz val="9"/>
            <rFont val="Tahoma"/>
            <family val="2"/>
          </rPr>
          <t>Windows User:
สืบ 62 ยูนิเวอร์แซล 644/100's</t>
        </r>
        <r>
          <rPr>
            <sz val="9"/>
            <rFont val="Tahoma"/>
            <family val="2"/>
          </rPr>
          <t xml:space="preserve">
สอบเขต ศก60 ยูนิเวอร์แซล 704/100's 21 ก.ย.60-20 ก.ย.61
อัยรินทร์ 096-8594087</t>
        </r>
      </text>
    </comment>
    <comment ref="E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 Pros Pharma 168/100x10's
สืบ 60,62  Pros Pharma 170/100x10's</t>
        </r>
      </text>
    </comment>
    <comment ref="P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168/1000's
ราคากลาง 115, 130 /500's</t>
        </r>
      </text>
    </comment>
    <comment ref="P5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=ราคากลาง</t>
        </r>
      </text>
    </comment>
    <comment ref="E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GED 7.42/vial มีปัญหา&gt;&gt;&gt;ภิญโญ แทน  8.75
สอบเขต มุก60 GED(Zuellig) 7.92/vial
21/9/60-21/9/61
089-2167850 พิศิษฏ์
นวัติกรรม สยามเภสัช 0161-0164 39.80/vial
 UTOPIAN 1160-1163 19.5/vial</t>
        </r>
      </text>
    </comment>
    <comment ref="E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สหแพทย์ 63.13/450ml net มีหัวปั๊ม</t>
        </r>
      </text>
    </comment>
    <comment ref="E7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Premed 39/1000's
สืบ60 Premed Pharma 48.15/1000's
สืบ 62 Property  45/1000's</t>
        </r>
      </text>
    </comment>
    <comment ref="E7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สีบ63 ซิลลิค 18/vial</t>
        </r>
      </text>
    </comment>
    <comment ref="E7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CPT 50/10x10's 
สืบ 62 Property 50/10x10's</t>
        </r>
      </text>
    </comment>
    <comment ref="E8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ภิญโญ 14.75/Amp
สืบ 62 ภิญโญ 16.4/Amp
สอบเขต มุก60 ภิญโญ 16.48/vial
21/9/60-21/9/61
084-7454229 ลัดดาวัลย์</t>
        </r>
      </text>
    </comment>
    <comment ref="E8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CPT 239/50x10's</t>
        </r>
      </text>
    </comment>
    <comment ref="E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สหแพทย์ 58.85/10x10's
สืบ 62 Polipharm 300/50x10's
สืบ60 Polipharm  300/50x10's</t>
        </r>
      </text>
    </comment>
    <comment ref="E8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2M(med-maker) 5.8/5gm
สืบ 61 TMAN 5.84/5 gm
สืบ60 NLP  5.8/5gm
Polipharm 6.5/5 gm</t>
        </r>
      </text>
    </comment>
    <comment ref="E8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TP 15/vial
สืบ60 TP 12/vial
สืบ 62 ไม่มีผู้เสนอราคา</t>
        </r>
      </text>
    </comment>
    <comment ref="E9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ATC 140/10x10's
สอบเขต60 รพศ.ไม่ทางการ ATC 144/100's</t>
        </r>
      </text>
    </comment>
    <comment ref="E9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เกร๊ตอีสเทอร์น ดรัก 27.55/vial net</t>
        </r>
      </text>
    </comment>
    <comment ref="E9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Berlin 310/10x10's net
สอบเขต มุก60 Berlin 364/10x10's
21/9/60-21/9/61
086-8536796 วัลยา
นวัติกรรม 117.70/15's SIAM
0161-0164</t>
        </r>
      </text>
    </comment>
    <comment ref="E10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42Lab 185/1000's
สืบ63 สหแพทย์ 250.38/100x10's
สืบ62 สหแพทย์ 258.94/100x10's
สืบ60 สหแพทย์ 260/100x10's</t>
        </r>
      </text>
    </comment>
    <comment ref="E10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Inpac 107/100x10's
Inpac 107/100x10's
สอบเขต ยโส60 บูรพา 104/1000's สัญญา 30 ส.ค.60-30 ส.ค.61</t>
        </r>
      </text>
    </comment>
    <comment ref="E11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ฟาร์มาสัน 164/100x10's
สืบ 62 Central Poly 170/100x10's
สืบ60 NLP 169/100x10's</t>
        </r>
      </text>
    </comment>
    <comment ref="E1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T.man 149/100x10
สืบ62 T.man 152/100x10'
สืบ60 T.man 152/100x10's</t>
        </r>
      </text>
    </comment>
    <comment ref="E1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สยามเมดิแคร์ 5/30ml
Tman 6.4/30ml
สืบ62  NLP 5.10/30ml
สืบ60 NLP 5.15/30ml</t>
        </r>
      </text>
    </comment>
    <comment ref="E1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ชุมชนเภสัชกรรม 240/100x10's 17/07/63
สืบ62  Property 185/100x10's
สอบเขต ศก60 CPL 177/100x10's 21 ก.ย.60-20 ก.ย.61 
กุลธิดา 081-9474509</t>
        </r>
      </text>
    </comment>
    <comment ref="E1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ฟาร์ม่าแลนด์ 0.43/tab, 0.62/cap
ปีงบ 63 GPO งดเสนอราคา เนื่องจากกำลังผลิตไม่เพียงพอ</t>
        </r>
      </text>
    </comment>
    <comment ref="E1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TP 32/vial
สอบเขต ศก60 TP 23/vial
 21 ก.ย.60-20 ก.ย.61</t>
        </r>
      </text>
    </comment>
    <comment ref="E1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Polipharm 158/10x10's ขอปรับเป็น 200/100's
สอบเขต ศก60 Polipharm  138/10x10's  21 ก.ย.60-20 ก.ย.61</t>
        </r>
      </text>
    </comment>
    <comment ref="E1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Polipharm (นวัตกรรม)200/10x10's
Medline, Unison 0161-0164 นวัตกรรม</t>
        </r>
      </text>
    </comment>
    <comment ref="E1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ชุมชนเภสัชกรรม 57.80/50x10's&gt;&gt;112/500's 17/07/63
Polipharm  114/500's
สอบเขต ศก60 Property 60/50x10's  21/9/60-20/9/61
ประเสริฐ 089-7703719
ชุมชนเภสัชกรรม 70/50x10's</t>
        </r>
      </text>
    </comment>
    <comment ref="E1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GHP, V&amp;V, ThaiOsuka,ANB  29.50/bott
Able Med เสนอ 28/bott 180362
สอบเขต อำนาจ60 GHP 30.8/bott
21/9/60-20/9/61</t>
        </r>
      </text>
    </comment>
    <comment ref="E16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V&amp;V 13.45/bott
สืบ 62 ฟาร์ม่าอินโนว่า 13.9/bott
Able Med เสนอ 28/bott 180362
สอบเขต อำนาจ60 GHP 14.75/bott
21/9/60-20/9/61</t>
        </r>
      </text>
    </comment>
    <comment ref="E1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สืบ62 ATC 63/amp
สืบ60 ATC 60/amp</t>
        </r>
      </text>
    </comment>
    <comment ref="E1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ยูโทป้ยน 
ชุมชนเภสัช 380/50x10's 17/07/63
409/50x10's
utp 489/50x10's
CPT 400/50x10's  1062
ชุมชนเภสัชกรรม มีขาย</t>
        </r>
      </text>
    </comment>
    <comment ref="E17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สหแพทย์ 119.84/100x10's</t>
        </r>
      </text>
    </comment>
    <comment ref="E18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ซาโนฟี่  915.92/50x10's
สืบ60 DKSH 729.74/50x10's</t>
        </r>
      </text>
    </comment>
    <comment ref="E18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Helol Starduol MDI 141.24/bott 30/10/62
สืบ 62 ImpacPharma/DKSH
144.45/bott&gt;&gt;&gt;140.17/bott</t>
        </r>
      </text>
    </comment>
    <comment ref="E1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LBS 91/20 ml</t>
        </r>
      </text>
    </comment>
    <comment ref="E18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Cosma 62/vial
สอบเขต มุก60 Berlin 64/vial
21/9/60-21/6/61
086-8536796  วัลยา</t>
        </r>
      </text>
    </comment>
    <comment ref="E18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Cosma 77.80/3ml ชดเชย 5%
สืบ60 Zuellig 65.48/3ml ,Cosma 77.80/3ml ชดเชย 5%</t>
        </r>
      </text>
    </comment>
    <comment ref="E1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สืบ62 BLH 599.20/10x10's</t>
        </r>
      </text>
    </comment>
    <comment ref="E20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Polipharm 180/100x10's
สืบ 62 Polipharm 180/100x10's</t>
        </r>
      </text>
    </comment>
    <comment ref="E20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SPS 155/50x10's s5%
สืบ62 SPS 150/50x10's
สืบ60 SPS 145/50x10's</t>
        </r>
      </text>
    </comment>
    <comment ref="E2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ANB 8.7/Vial
สอบเขต ยโส60 TP 8.9/vial สัญญา 30 ส.ค.60-30 ส.ค.61</t>
        </r>
      </text>
    </comment>
    <comment ref="E2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สหแพทย์ 90.95/50x10's
รายการ GPO
Polipharm 197/50x10's
โอสถอินเตอร์ 130/50x10's Blister
บูรพา 160/50x100's
ส.เจริญ 125/50x10's 081 7017723
</t>
        </r>
        <r>
          <rPr>
            <b/>
            <sz val="9"/>
            <rFont val="Tahoma"/>
            <family val="2"/>
          </rPr>
          <t>ปีงบ 63 GPO งดเสนอราคา เนื่องจากกำลังผลิตไม่เพียงพอ</t>
        </r>
      </text>
    </comment>
    <comment ref="E2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Pinyo  193/10x10's s5%
สืบ62 Pinyo  194/10x10's
สืบ60 Masu 255/10x10's</t>
        </r>
      </text>
    </comment>
    <comment ref="E2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T.Man 412/100x10's
Global 400/50x10's
สอบเขต ศก60 CPL 212/50x10's 21 ก.ย.60-20 ก.ย.61
กุลธิดา 081-9474509</t>
        </r>
      </text>
    </comment>
    <comment ref="E23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โอสถอินเตอร์ 10/bott
สืบ 62 โอสถอินเตอร์ 11.5/bott
สืบ60 JSP(Cox) 10.60/60ml</t>
        </r>
      </text>
    </comment>
    <comment ref="E23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โมเดิร์นฟาร์ม่า 48/50's
สืบ62 เกร็ทเตอร์มายบาซิน 
65.27/60's</t>
        </r>
      </text>
    </comment>
    <comment ref="E2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LBS 18/Amp</t>
        </r>
      </text>
    </comment>
    <comment ref="E2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Universal 780/10'
10 ml/amp
สอบเขต ศก60 ซิลลิค 567.1/10amp  21 ก.ย.60-20 ก.ย.61
เศษฐวัชร์ 081-2397182</t>
        </r>
      </text>
    </comment>
    <comment ref="E2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ภิญโญ 245/10x10's
ส.เจริญ  285/10x10's
สืบ62 ภิญโญ 260/10x10's
สืบ60 ภิญโญ 280/10x10's</t>
        </r>
      </text>
    </comment>
    <comment ref="E24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โมเดิร์นฟาร์ม่า  68/10x10'
สืบ62 โมเดิร์นฟาร์ม่า  70/10x10'
สืบ60 บูรพา 369/50x10'</t>
        </r>
      </text>
    </comment>
    <comment ref="E2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สหแพทย์ 68.48/10x10's
สืบ62 สหแพทย์ 77.04/10x10's
สืบ60 สหแพทย์ 80.25/10x10's</t>
        </r>
      </text>
    </comment>
    <comment ref="E2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 DKSH (ศิริบัญชามสหการโอสถ) 823.9/12x450 ml
สืบ60 DKSH (สหการโอสถ) 128.4/450 ml</t>
        </r>
      </text>
    </comment>
    <comment ref="E2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ภิญโญ 12.20/vial
สืบ 62 ภิญโญ 13/vial</t>
        </r>
      </text>
    </comment>
    <comment ref="E2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บีแอลฮั๊ว 85.6/100's(3.3 gm)
สืบ60 ซีฟาม 82/100's(2.54 gm)</t>
        </r>
      </text>
    </comment>
    <comment ref="E2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ซีฟาม 132.5/100's
สืบ62 ซีฟาม 132.5/100's</t>
        </r>
      </text>
    </comment>
    <comment ref="E2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LBS  11/100's
สืบ62 LBS  9.5/100's
GIS สืบ 60 10/Amp</t>
        </r>
      </text>
    </comment>
    <comment ref="E2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สืบ62  ATC 420/1000's 
สอบเขต ยโส60 ATC 384/1000's  สัญญา 30 ส.ค.60-30 ส.ค.61</t>
        </r>
      </text>
    </comment>
    <comment ref="E27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สืบ62 ATC 138/amp
สืบ60 ATC 184/amp</t>
        </r>
      </text>
    </comment>
    <comment ref="E28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63 สหแพทย์ 47/240 ml
สืบ 60 สหแพทย์ 47/240 ml</t>
        </r>
      </text>
    </comment>
    <comment ref="E28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สืบ61 สหแพทย์ 73.83/450
Inpac 84.53/450 ml
สืบ60 สหแพทย์ 75/450ml</t>
        </r>
      </text>
    </comment>
    <comment ref="E29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ฟาร์มาสันแลป 397/1000's
สืบ62 Global 380/100x10's
สืบ60 Polipharm 190/50x10's</t>
        </r>
      </text>
    </comment>
    <comment ref="E30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biogen 530/vial 070463
สืบุ62 Biogenetech 585/vial
biovalis 600/vial
สอบเขต 60 รพศ.ไม่ทางการ Biogenetect 585/vial 
สภากาชาด ซื้อครั้งละไม่เกิน 100 vial จ่ายสด ราคา 520 บาท/ขวด คิดค่าขนส่งเพิ่ม </t>
        </r>
      </text>
    </comment>
    <comment ref="E30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GIS 40/10x10's
GIS สอบเขต60 ยโสธร 34/10x10's
ATC ส่งตรวจอยู่ จาก อย. ยังไม่ทราบผล  มีของอยู่
Tablet ผ่นปริ่มน้ำ
Famotidine Premed 40/10x10's</t>
        </r>
      </text>
    </comment>
    <comment ref="E30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GIS 4/1Amp
GIS สืบ60 3.4/Amp</t>
        </r>
      </text>
    </comment>
    <comment ref="E3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สืบ60,62  Greater Mybacin 37.45/20ml</t>
        </r>
      </text>
    </comment>
    <comment ref="E3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TNP 127/50x10's  แถมบิลแรก 5%</t>
        </r>
      </text>
    </comment>
    <comment ref="E3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สหการโอสถ 67.41/1000's
สืบ 60 Premed Pharma 73/1000's</t>
        </r>
      </text>
    </comment>
    <comment ref="E3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GHP,V&amp;V, ThaiOsuka,ANB 27
สอบเขต ยโส60 Thai Otsuka(Zuellig) 27.50/1000ml  สัญญา 30 ส.ค.60-30 ส.ค.61
ดิเรก 084-4383431</t>
        </r>
      </text>
    </comment>
    <comment ref="E3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ภิญโญ 125/10x10's</t>
        </r>
      </text>
    </comment>
    <comment ref="E3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ProsPharma 68/10x10's
สอบเขต 60 ศก. CPL 368/500's 21 ก.ย.60-20 ก.ย.61
กุลธิดา 081-9474509</t>
        </r>
      </text>
    </comment>
    <comment ref="E3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62 ซิลลิค 98.6/5x20's
สอบเขต ศก60 ซิลลิค 103.79/10x10's 
21/9/60-20/9/61
สุธาสินี 087-8775599</t>
        </r>
      </text>
    </comment>
    <comment ref="E3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สหแพทย์ 27/10x10's +5%
สอบเขต ยโส60 ส.เจริญ 0.289/cap สัญญา 30 ส.ค.60-30 ส.ค.61</t>
        </r>
      </text>
    </comment>
    <comment ref="E3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T.O.,CPT 90/10x10
สืบ62 Property 94/10x10'
สืบ60 Property 95/10x10's</t>
        </r>
      </text>
    </comment>
    <comment ref="E37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Premed 134.75/1000's
สืบ 60 Modern Pharma 146.5/1000's
สืบ 62 Modern Pharma 145/1000's</t>
        </r>
      </text>
    </comment>
    <comment ref="E3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SPS 140/10x10's s5%
นวัตกรรมไทย SPS 145/100's สอบเขต 60 ศก 120/100's  21 ก.ย.60-20 ก.ย.61
วรัญญา 061-5642659</t>
        </r>
      </text>
    </comment>
    <comment ref="E37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SPS 180/10x10's s5%
นวัตกรรมไทย SPS  185/100's  สอบเขต 60 ศก 160/100's   21 ก.ย.60-20 ก.ย.61
วรัญญา 061-5642659</t>
        </r>
      </text>
    </comment>
    <comment ref="E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รายการ GPO, นวัติกรรม
Berlin 0461-0464 38.52/100's
medline 38/10x10's 5s
Polipharm นวัติกรรม 180/50x10's
ชุมชนเภสัช 170/50x10's นวัตกรรม 61-62
Premed 45/10x10's 06/06/63</t>
        </r>
      </text>
    </comment>
    <comment ref="E19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, GPO
ชุมชนเภสัชกรรม  โปลิฟาร์ม มิลลิเมด</t>
        </r>
      </text>
    </comment>
    <comment ref="E20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GPO</t>
        </r>
      </text>
    </comment>
    <comment ref="E21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SPS 330/50x10's 5%s
สืบ60 SPS 330/50x10's
นวัติกรรม SPS 0161-0164</t>
        </r>
      </text>
    </comment>
    <comment ref="E3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นวัติกรรม 2.5 บาท/เม็ด ATC 0162-0165
230/100's Unison,Medline 0461-0464
129.47/30's M&amp;H BLH 0462-0465</t>
        </r>
      </text>
    </comment>
    <comment ref="E3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Berlin 640/1000's 0360-0363 GPO
เกรตเตอร์มายบาซิน 460/100x10's</t>
        </r>
      </text>
    </comment>
    <comment ref="P7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เคยซื้อ 70.45/100งห
</t>
        </r>
      </text>
    </comment>
    <comment ref="P8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สืบ63 14.75/vial</t>
        </r>
      </text>
    </comment>
    <comment ref="P8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LBS 11 , ส.เจริญ 6.9/6's
</t>
        </r>
      </text>
    </comment>
    <comment ref="P16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29.5</t>
        </r>
      </text>
    </comment>
    <comment ref="P1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=ราคากลาง</t>
        </r>
      </text>
    </comment>
    <comment ref="P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11.411, </t>
        </r>
      </text>
    </comment>
    <comment ref="P25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320/1000's</t>
        </r>
      </text>
    </comment>
    <comment ref="M2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รอแจงประเมินการใช้</t>
        </r>
      </text>
    </comment>
    <comment ref="R1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25/09/63  สังก่อน 1063</t>
        </r>
      </text>
    </comment>
    <comment ref="P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409.10
</t>
        </r>
      </text>
    </comment>
    <comment ref="P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130.54</t>
        </r>
      </text>
    </comment>
    <comment ref="P4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70.69034</t>
        </r>
      </text>
    </comment>
    <comment ref="K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500 ml</t>
        </r>
      </text>
    </comment>
    <comment ref="P7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840</t>
        </r>
      </text>
    </comment>
    <comment ref="P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350, 300/500's</t>
        </r>
      </text>
    </comment>
    <comment ref="P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310, 425</t>
        </r>
      </text>
    </comment>
    <comment ref="P1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375,460, 424</t>
        </r>
      </text>
    </comment>
    <comment ref="P1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185, 260</t>
        </r>
      </text>
    </comment>
    <comment ref="P1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สืบ 220.74468, 350</t>
        </r>
      </text>
    </comment>
    <comment ref="P1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140</t>
        </r>
      </text>
    </comment>
    <comment ref="P1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200, 189.04
</t>
        </r>
      </text>
    </comment>
    <comment ref="P1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593, 489, 400ม 391.25
</t>
        </r>
      </text>
    </comment>
    <comment ref="P18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74, 64</t>
        </r>
      </text>
    </comment>
    <comment ref="P1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267.5</t>
        </r>
      </text>
    </comment>
    <comment ref="P20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325</t>
        </r>
      </text>
    </comment>
    <comment ref="P20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400</t>
        </r>
      </text>
    </comment>
    <comment ref="P20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360,250, 260</t>
        </r>
      </text>
    </comment>
    <comment ref="P20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150</t>
        </r>
      </text>
    </comment>
    <comment ref="P2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694, 598</t>
        </r>
      </text>
    </comment>
    <comment ref="P3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230</t>
        </r>
      </text>
    </comment>
    <comment ref="P3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195, 150</t>
        </r>
      </text>
    </comment>
    <comment ref="P3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54, 55</t>
        </r>
      </text>
    </comment>
    <comment ref="P3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26.5</t>
        </r>
      </text>
    </comment>
    <comment ref="P34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440, 540</t>
        </r>
      </text>
    </comment>
    <comment ref="P3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95/100's</t>
        </r>
      </text>
    </comment>
    <comment ref="P37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59, 36.5059</t>
        </r>
      </text>
    </comment>
    <comment ref="P28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278.2, 264.29</t>
        </r>
      </text>
    </comment>
    <comment ref="O17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แผน GPO 7000x100's</t>
        </r>
      </text>
    </comment>
    <comment ref="O22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T2, T4</t>
        </r>
      </text>
    </comment>
    <comment ref="O37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T2,3,4</t>
        </r>
      </text>
    </comment>
    <comment ref="O45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T2, 4
</t>
        </r>
      </text>
    </comment>
    <comment ref="O5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2,4</t>
        </r>
      </text>
    </comment>
    <comment ref="O52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T3
</t>
        </r>
      </text>
    </comment>
    <comment ref="O8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2,4</t>
        </r>
      </text>
    </comment>
    <comment ref="O93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2,4</t>
        </r>
      </text>
    </comment>
    <comment ref="O96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2,4</t>
        </r>
      </text>
    </comment>
    <comment ref="O97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2,4</t>
        </r>
      </text>
    </comment>
    <comment ref="O122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3</t>
        </r>
      </text>
    </comment>
    <comment ref="O242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T3</t>
        </r>
      </text>
    </comment>
    <comment ref="O255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2 3 4</t>
        </r>
      </text>
    </comment>
    <comment ref="O208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GPO 400</t>
        </r>
      </text>
    </comment>
    <comment ref="O26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3
</t>
        </r>
      </text>
    </comment>
    <comment ref="O261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3</t>
        </r>
      </text>
    </comment>
    <comment ref="O269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3
</t>
        </r>
      </text>
    </comment>
    <comment ref="O273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O27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O31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O32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O323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GPO 6000</t>
        </r>
      </text>
    </comment>
    <comment ref="O33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O339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O358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2 3 4</t>
        </r>
      </text>
    </comment>
    <comment ref="O36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P30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ล่าสุดได้ 500/ขวด</t>
        </r>
      </text>
    </comment>
    <comment ref="E465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ยาเสพติดสนับสนุน</t>
        </r>
      </text>
    </comment>
    <comment ref="E466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ยาเสพติดสนับสนุน</t>
        </r>
      </text>
    </comment>
    <comment ref="E5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GPO 267.2/100's</t>
        </r>
      </text>
    </comment>
    <comment ref="E85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GPO ขึ้นบัญชีนวัตรกรรม 600/100's</t>
        </r>
      </text>
    </comment>
    <comment ref="E36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T.Man, Millimed</t>
        </r>
      </text>
    </comment>
    <comment ref="L3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3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10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10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13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13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1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1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1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1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23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23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2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2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2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2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33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33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3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3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39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39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  <comment ref="L4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N4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ณ 31/07/2564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ASUS</author>
  </authors>
  <commentList>
    <comment ref="J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 12 เดือนจากยอด 10 เดือน</t>
        </r>
      </text>
    </comment>
    <comment ref="M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มียอดสนับสนุนจาก สปสช. ประมาณสามหมื่นกว่า</t>
        </r>
      </text>
    </comment>
    <comment ref="D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2.31/1's</t>
        </r>
      </text>
    </comment>
    <comment ref="D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61.53/set</t>
        </r>
      </text>
    </comment>
    <comment ref="D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12.84/set
FCP 350/50's 7/1's</t>
        </r>
      </text>
    </comment>
    <comment ref="D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34.84/50's  icare 37.50/50's
ไบโอคอทตอน 99% 35 บาท/50's</t>
        </r>
      </text>
    </comment>
    <comment ref="D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1144.9/480's/box</t>
        </r>
      </text>
    </comment>
    <comment ref="D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icare 50/50 ใบ
The One 90/100's</t>
        </r>
      </text>
    </comment>
    <comment ref="D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The One 30/1's ทุกเบอร์</t>
        </r>
      </text>
    </comment>
    <comment ref="D2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Heparin with Extension 7/1's FCP
</t>
        </r>
      </text>
    </comment>
    <comment ref="N4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K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ประมาณการจาก Supply</t>
        </r>
      </text>
    </comment>
    <comment ref="K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ประมาณการจาก Nurse</t>
        </r>
      </text>
    </comment>
    <comment ref="K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ประมาณการจาก Nurse 25 boxx</t>
        </r>
      </text>
    </comment>
    <comment ref="K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ประมาณการจาก Supply
</t>
        </r>
      </text>
    </comment>
    <comment ref="K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ประมาณการจาก Nurse 10 roll</t>
        </r>
      </text>
    </comment>
    <comment ref="K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Nurse ประมาณการ 
</t>
        </r>
      </text>
    </comment>
    <comment ref="D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MASA LAB</t>
        </r>
      </text>
    </comment>
    <comment ref="N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10.7</t>
        </r>
      </text>
    </comment>
    <comment ref="M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ตรวจสอบจำนวนใหม่</t>
        </r>
      </text>
    </comment>
    <comment ref="L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ใช่รึป่าว</t>
        </r>
      </text>
    </comment>
    <comment ref="L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ใช่รึป่าว 180 set</t>
        </r>
      </text>
    </comment>
    <comment ref="N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2.5/ชิ้น</t>
        </r>
      </text>
    </comment>
    <comment ref="D9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เข้าแผนกลุ่มการ</t>
        </r>
      </text>
    </comment>
    <comment ref="D9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เข้าแผนกลุ่มการ</t>
        </r>
      </text>
    </comment>
    <comment ref="D9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เข้าแผนกลุ่มการ</t>
        </r>
      </text>
    </comment>
    <comment ref="D3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สอบถาม Supply</t>
        </r>
      </text>
    </comment>
    <comment ref="D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หาที่ซื้อไม่ได้</t>
        </r>
      </text>
    </comment>
    <comment ref="N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เคยซื้อ 1872.5/กล่อง</t>
        </r>
      </text>
    </comment>
    <comment ref="K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Nurse ประมาณการ</t>
        </r>
      </text>
    </comment>
    <comment ref="L92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2.5" เหลือ 5 ม้วน</t>
        </r>
      </text>
    </comment>
    <comment ref="M8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3 4
</t>
        </r>
      </text>
    </comment>
    <comment ref="M15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3-4</t>
        </r>
      </text>
    </comment>
    <comment ref="M2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2-4</t>
        </r>
      </text>
    </comment>
    <comment ref="M48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2-4</t>
        </r>
      </text>
    </comment>
    <comment ref="M9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เข้าแผนฝ่ายการ</t>
        </r>
      </text>
    </comment>
    <comment ref="J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 12 เดือนจากยอด 10 เดือน</t>
        </r>
      </text>
    </comment>
  </commentList>
</comments>
</file>

<file path=xl/comments4.xml><?xml version="1.0" encoding="utf-8"?>
<comments xmlns="http://schemas.openxmlformats.org/spreadsheetml/2006/main">
  <authors>
    <author>Windows User</author>
    <author>ASUS</author>
  </authors>
  <commentList>
    <comment ref="J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 m from 9m</t>
        </r>
      </text>
    </comment>
    <comment ref="D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8.56</t>
        </r>
      </text>
    </comment>
    <comment ref="D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16.9/คู่
icare 680/50 คู่
The One 650/50 คู่ ทุกเบอร์
</t>
        </r>
      </text>
    </comment>
    <comment ref="D43" authorId="0">
      <text>
        <r>
          <rPr>
            <b/>
            <sz val="9"/>
            <rFont val="Tahoma"/>
            <family val="2"/>
          </rPr>
          <t>Windows User:
อ้างอิง สปส.60 16.9/คู่
icare 680/50 คู่
The One 650/50 คู่ ทุกเบอร์</t>
        </r>
      </text>
    </comment>
    <comment ref="D4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68.25/100's</t>
        </r>
      </text>
    </comment>
    <comment ref="D9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สปส.60 198/100's</t>
        </r>
      </text>
    </comment>
    <comment ref="D5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8.9452/1's</t>
        </r>
      </text>
    </comment>
    <comment ref="D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3.21/8's</t>
        </r>
      </text>
    </comment>
    <comment ref="D10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สปส.60 112/100's</t>
        </r>
      </text>
    </comment>
    <comment ref="D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68.25/100's
N.E. 84 บาท ทุกเบอร์</t>
        </r>
      </text>
    </comment>
    <comment ref="D9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2500/12's</t>
        </r>
      </text>
    </comment>
    <comment ref="D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8.9452/1's</t>
        </r>
      </text>
    </comment>
    <comment ref="D10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อ้างอิง สปส.60 128/100's</t>
        </r>
      </text>
    </comment>
    <comment ref="D10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14.775/1's  295.5/20's</t>
        </r>
      </text>
    </comment>
    <comment ref="D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สปส.60 224.7/ม้วน
22/9/63 แจ๊กเจีย 246.1/1ม้วน  095-594-0490</t>
        </r>
      </text>
    </comment>
    <comment ref="D1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สปส.60 299.6/กล่อง 99.86666/ม้วน
22/9/63  แจ๊กเจีย 278.2/3ม้วน  </t>
        </r>
      </text>
    </comment>
    <comment ref="D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25.41/ใบ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17/6/set</t>
        </r>
      </text>
    </comment>
    <comment ref="D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3.85/set</t>
        </r>
      </text>
    </comment>
    <comment ref="D44" authorId="0">
      <text>
        <r>
          <rPr>
            <b/>
            <sz val="9"/>
            <rFont val="Tahoma"/>
            <family val="2"/>
          </rPr>
          <t>Windows User:
อ้างอิง สปส.60 16.9/คู่
icare 680/50 คู่
The One 650/50 คู่ ทุกเบอร์</t>
        </r>
      </text>
    </comment>
    <comment ref="D10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สปส.60 145/50's/pack
ไบโอคอทตอน 150/pack</t>
        </r>
      </text>
    </comment>
    <comment ref="D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46.01/100's</t>
        </r>
      </text>
    </comment>
    <comment ref="D1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อ้างอิง สปส.60 12.48/ใบ
ไอแคร์ 12.48/ใบ</t>
        </r>
      </text>
    </comment>
    <comment ref="D1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ไอแคร์ 21/100's</t>
        </r>
      </text>
    </comment>
    <comment ref="D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icare 80/pack</t>
        </r>
      </text>
    </comment>
    <comment ref="D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icare 80/pack</t>
        </r>
      </text>
    </comment>
    <comment ref="D4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Windows User:
อ้างอิง สปส.60 16.9/คู่
icare 680/50 คู่
The One 650/50 คู่ ทุกเบอร์</t>
        </r>
      </text>
    </comment>
    <comment ref="D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ntt 40, ไบโอคอทตอน 38 บาท/ห่อ s5</t>
        </r>
      </text>
    </comment>
    <comment ref="D6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The One 12/1's ทุกเบอร์</t>
        </r>
      </text>
    </comment>
    <comment ref="N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เดิม 17.83, 32.1</t>
        </r>
      </text>
    </comment>
    <comment ref="K10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ประมาณการจาก Supply</t>
        </r>
      </text>
    </comment>
    <comment ref="N10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ปรับขึ้น 5/10's</t>
        </r>
      </text>
    </comment>
    <comment ref="N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199.02</t>
        </r>
      </text>
    </comment>
    <comment ref="N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12.82</t>
        </r>
      </text>
    </comment>
    <comment ref="N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7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7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7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7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7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46.01</t>
        </r>
      </text>
    </comment>
    <comment ref="N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ได้ 38</t>
        </r>
      </text>
    </comment>
    <comment ref="N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14.98</t>
        </r>
      </text>
    </comment>
    <comment ref="N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28.5333333</t>
        </r>
      </text>
    </comment>
    <comment ref="N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13.748</t>
        </r>
      </text>
    </comment>
    <comment ref="N1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14.8337</t>
        </r>
      </text>
    </comment>
    <comment ref="N8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เดิม 32.1</t>
        </r>
      </text>
    </comment>
    <comment ref="D1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แจ๊กเจีย  395.90/24 roll</t>
        </r>
      </text>
    </comment>
    <comment ref="D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แจ๊กเจีย  321/24 ม้วน</t>
        </r>
      </text>
    </comment>
    <comment ref="D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แจ๊กเจีย  ไม่มี</t>
        </r>
      </text>
    </comment>
    <comment ref="D3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พี่หญิงแจ้งเพิ่มทีหลัง เป็นยอดใช้จาก ER</t>
        </r>
      </text>
    </comment>
    <comment ref="L119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รวม 5 ก้าน
</t>
        </r>
      </text>
    </comment>
    <comment ref="M1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2-4</t>
        </r>
      </text>
    </comment>
    <comment ref="M3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2-4</t>
        </r>
      </text>
    </comment>
    <comment ref="M47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3 4
</t>
        </r>
      </text>
    </comment>
    <comment ref="M77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2 4</t>
        </r>
      </text>
    </comment>
    <comment ref="K76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ปรับสู้โควิด-19</t>
        </r>
      </text>
    </comment>
    <comment ref="J3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 m from 9m</t>
        </r>
      </text>
    </comment>
    <comment ref="J7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 m from 9m</t>
        </r>
      </text>
    </comment>
    <comment ref="J10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 m from 9m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R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12m from 10m</t>
        </r>
      </text>
    </comment>
  </commentList>
</comments>
</file>

<file path=xl/comments6.xml><?xml version="1.0" encoding="utf-8"?>
<comments xmlns="http://schemas.openxmlformats.org/spreadsheetml/2006/main">
  <authors>
    <author>Windows User</author>
    <author>ASUS</author>
  </authors>
  <commentList>
    <comment ref="L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kg</t>
        </r>
      </text>
    </comment>
    <comment ref="D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N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120/kg</t>
        </r>
      </text>
    </comment>
    <comment ref="N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ซื้อได้ 130/kg</t>
        </r>
      </text>
    </comment>
    <comment ref="D4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ปี 64 จะใช้สีเขียวแทน</t>
        </r>
      </text>
    </comment>
    <comment ref="M8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2-4
</t>
        </r>
      </text>
    </comment>
    <comment ref="M18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2-4
</t>
        </r>
      </text>
    </comment>
    <comment ref="J2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ยกมาจาก ขนาด 12*17 ซม.</t>
        </r>
      </text>
    </comment>
    <comment ref="M22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2-4</t>
        </r>
      </text>
    </comment>
    <comment ref="N12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เดิม 140</t>
        </r>
      </text>
    </comment>
    <comment ref="N1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เดิม 155</t>
        </r>
      </text>
    </comment>
  </commentList>
</comments>
</file>

<file path=xl/comments8.xml><?xml version="1.0" encoding="utf-8"?>
<comments xmlns="http://schemas.openxmlformats.org/spreadsheetml/2006/main">
  <authors>
    <author>Windows User</author>
    <author>ASUS</author>
  </authors>
  <commentList>
    <comment ref="P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L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P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444.09, 256.1785</t>
        </r>
      </text>
    </comment>
    <comment ref="P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102.26</t>
        </r>
      </text>
    </comment>
    <comment ref="P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126.88, 180.06, 181.857</t>
        </r>
      </text>
    </comment>
    <comment ref="P5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710</t>
        </r>
      </text>
    </comment>
    <comment ref="N2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ทั่วไป+หญิงตั้งครรภ์</t>
        </r>
      </text>
    </comment>
  </commentList>
</comments>
</file>

<file path=xl/sharedStrings.xml><?xml version="1.0" encoding="utf-8"?>
<sst xmlns="http://schemas.openxmlformats.org/spreadsheetml/2006/main" count="4604" uniqueCount="1582">
  <si>
    <t>ประมาณการ</t>
  </si>
  <si>
    <t>ราคา/หน่วย</t>
  </si>
  <si>
    <t>ลำดับ</t>
  </si>
  <si>
    <t>ขนาดบรรจุ</t>
  </si>
  <si>
    <t>คงคลัง</t>
  </si>
  <si>
    <t>จำนวน</t>
  </si>
  <si>
    <t>มูลค่า</t>
  </si>
  <si>
    <t xml:space="preserve">จำนวน </t>
  </si>
  <si>
    <t>ACETAZOLAMIDE 250 mg TABLET</t>
  </si>
  <si>
    <t>ACYCLOVIR 200 mg TABLET</t>
  </si>
  <si>
    <t>Al2O3 250 mg+Mg(OH)2 250 mg TABLET</t>
  </si>
  <si>
    <t>ALBENDAZOLE 200 mg TABLET</t>
  </si>
  <si>
    <t>ALBENDAZOLE SUSPENSION 400 mg/20 ml</t>
  </si>
  <si>
    <t>ALLOPURINOL 100 mg TABLET</t>
  </si>
  <si>
    <t>AMILORIDE + HCTZ TABLET</t>
  </si>
  <si>
    <t>AMIODARONE 150 mg/3 ml INJECTION</t>
  </si>
  <si>
    <t>AMITRIPTYLINE 10 mg TABLET</t>
  </si>
  <si>
    <t>AMITRIPTYLINE 25 mg TABLET</t>
  </si>
  <si>
    <t>AMLODIPINE BESILATE 5 MG TABLET</t>
  </si>
  <si>
    <t>AMMONIUM CAR. &amp; GLYCYRRHIZA MIXTURE 60 ml</t>
  </si>
  <si>
    <t>AMOXYCILLIN 250 mg CAPSULE</t>
  </si>
  <si>
    <t>AMOXYCILLIN 500 mg CAPSULE</t>
  </si>
  <si>
    <t>AMOXYCILLIN SYRUP 125 mg/5 ml</t>
  </si>
  <si>
    <t>AMPICILLIN 1 gm INJECTION</t>
  </si>
  <si>
    <t>AMPICILLIN 250 mg INJECTION</t>
  </si>
  <si>
    <t>AMPICILLIN 500 mg INJECTION</t>
  </si>
  <si>
    <t>AROMATIC AMMONIUM SPIRIT</t>
  </si>
  <si>
    <t>ASPIRIN 300 mg TABLET</t>
  </si>
  <si>
    <t>ATENOLOL 100 mg TABLET</t>
  </si>
  <si>
    <t>BCG VACCINE INJECTION</t>
  </si>
  <si>
    <t>BENZYL BENZOATE 25 % EMULSION</t>
  </si>
  <si>
    <t>BETAMETHASONE 0.1 % CREAM</t>
  </si>
  <si>
    <t>BISACODYL 5 mg TABLET</t>
  </si>
  <si>
    <t>BROWN MIXTURE 60 ml</t>
  </si>
  <si>
    <t>CALAMINE 15 % LOTION</t>
  </si>
  <si>
    <t>CARMINATIVE MIXTURE</t>
  </si>
  <si>
    <t>CEFAZOLIN 1 gm INJECTION</t>
  </si>
  <si>
    <t>CEFTRIAZONE SODIUM 1 gm INJECTION</t>
  </si>
  <si>
    <t>CHLORAMPHENICOL 1 % EYE OINTMENT</t>
  </si>
  <si>
    <t>CHLORHEXIDINE GLUCONATE 4 % SCRUB</t>
  </si>
  <si>
    <t>CHLOROQUINE PHOSPHATE 250 mg TABLET</t>
  </si>
  <si>
    <t>CHLORPHENIRAMINE 4 mg TABLET</t>
  </si>
  <si>
    <t>CHLORPHENIRAMINE SYRUP 2 mg/5 ml</t>
  </si>
  <si>
    <t>CHLORPROMAZINE 100 mg TABLET</t>
  </si>
  <si>
    <t>CHLORPROMAZINE 25 mg TABLET</t>
  </si>
  <si>
    <t>CHLORPROMAZINE 50 mg TABLET</t>
  </si>
  <si>
    <t>CLORAZEPATE DIPOTASSIUM 5 mg CAPSULE</t>
  </si>
  <si>
    <t>CLOTRIMAZOLE 1 % CREAM</t>
  </si>
  <si>
    <t>CLOTRIMAZOLE 100 mg VAGINAL TABLET</t>
  </si>
  <si>
    <t>CLOXACILLIN 1 gm INJECTION</t>
  </si>
  <si>
    <t>COAL TAR SHAMPOO</t>
  </si>
  <si>
    <t>COLCHICINE 0.6 mg TABLET</t>
  </si>
  <si>
    <t>CONJUGATED ESTROGEN 0.625 mg TABLET</t>
  </si>
  <si>
    <t>COTRIMOXAZOLE  SUSPENSION 60 ml</t>
  </si>
  <si>
    <t>COTRIMOXAZOLE TABLET</t>
  </si>
  <si>
    <t>DAPSONE 100 mg TABLET</t>
  </si>
  <si>
    <t>DEXAMETHASONE INJECTION 4 mg/ml/AMP</t>
  </si>
  <si>
    <t>DEXTRAN 40 % NORMAL SALINE 500 ml</t>
  </si>
  <si>
    <t>DEXTROMETHORPHAN 15 mg TABLET</t>
  </si>
  <si>
    <t>DIAZEPAM 2 mg TABLET</t>
  </si>
  <si>
    <t>DIAZEPAM 5 mg TABLET</t>
  </si>
  <si>
    <t>DIAZEPAM INJECTION 10 mg/2 ml/amp</t>
  </si>
  <si>
    <t>DICLOFENAC 25 mg TABLET</t>
  </si>
  <si>
    <t>DICLOFENAC INJECTION 25 mg/ml 3 ml/AMP</t>
  </si>
  <si>
    <t>DICLOXACILLIN 250 mg CAPSULE</t>
  </si>
  <si>
    <t>DICLOXACILLIN DRY SYRUP 62.5 MG/5 ML</t>
  </si>
  <si>
    <t>DIGOXIN 0.25 mg TABLET</t>
  </si>
  <si>
    <t>DIGOXIN 0.25 mg/ml INJECTION 2 ml/AMP</t>
  </si>
  <si>
    <t>DIMENHYDRINATE 50 mg TABLET</t>
  </si>
  <si>
    <t>DIMENHYDRINATE INJECTION 50 mg/ml/amp</t>
  </si>
  <si>
    <t>DOMPERIDONE 10 mg TABLET</t>
  </si>
  <si>
    <t>DOMPERIDONE SUSPENSION 5 mg/5 ml</t>
  </si>
  <si>
    <t>DOXYCYCLINE 100 mg CAPSULE</t>
  </si>
  <si>
    <t>DTP VACCINE INJECTION 5 ml/VIAL</t>
  </si>
  <si>
    <t>ENALAPRIL 5 mg TABLET</t>
  </si>
  <si>
    <t>ENALAPRIL 20 mg TABLET</t>
  </si>
  <si>
    <t>ENEMA FOR CHILDREN</t>
  </si>
  <si>
    <t>ERGOTAMINE 1 mg+ CAFFEINE 100 mg TABLET</t>
  </si>
  <si>
    <t>ETHAMBUTOL 400 mg TABLET</t>
  </si>
  <si>
    <t>ETHYL ALCOHOL 95 %</t>
  </si>
  <si>
    <t>FLUCONAZOLE 200 mg CAPSULE</t>
  </si>
  <si>
    <t>FLUNARIZINE 5 mg CAPSULE</t>
  </si>
  <si>
    <t>FLUPHENAZINE INJECTION 25 mg/ml/amp</t>
  </si>
  <si>
    <t>FOLIC ACID 5 mg TABLET</t>
  </si>
  <si>
    <t>FORMALDEHYDE 38 %</t>
  </si>
  <si>
    <t>FUROSEMIDE 250 mg/25 ml INJECTION</t>
  </si>
  <si>
    <t>FUROSEMIDE INJECTION 10 mg/ml 2 ml/AMP</t>
  </si>
  <si>
    <t>FUROSEMIDE 40 mg TABLET</t>
  </si>
  <si>
    <t>GENTAMYCIN SO4 INJ 40 mg/ml 2 ml</t>
  </si>
  <si>
    <t>GENTIAL VIOLET 1 % SOLUTION</t>
  </si>
  <si>
    <t>GLUCOSE 10 % NaCl 0.45 %  1000 ml/BOT</t>
  </si>
  <si>
    <t>GLUCOSE 5 % NaCl 0.18 % 500 ml/BOT</t>
  </si>
  <si>
    <t>GLUCOSE 5 % NaCl 0.225 %  500 ml/BOT</t>
  </si>
  <si>
    <t>GLUCOSE 5 % NaCl 0.3 % 500 ml/BOT</t>
  </si>
  <si>
    <t>GLUCOSE 5 % NaCl 0.45 %  1000 ml/BOT</t>
  </si>
  <si>
    <t>GLUCOSE 5 % NaCl 0.9 % 1000 ml/BOT</t>
  </si>
  <si>
    <t>GLUCOSE 5 % WATER 100 ml/BOT</t>
  </si>
  <si>
    <t>GLUCOSE 5 % WATER 500 ml/BOT</t>
  </si>
  <si>
    <t>GLUCOSE 50 % INJECTION  50 ml</t>
  </si>
  <si>
    <t>GLYCERYL GIUACOLATE SYRUP 100 mg/5 ml</t>
  </si>
  <si>
    <t>GPO-VIR S 30 TABLET</t>
  </si>
  <si>
    <t>GREEN PIT ViPER ANTIVENIN</t>
  </si>
  <si>
    <t>GRISEOFULVIN 500 mg TABLET</t>
  </si>
  <si>
    <t>HALOPERIDOL INJECTION 50 mg/ml/amp</t>
  </si>
  <si>
    <t>HALOPERIDOL 2 mg TABLET</t>
  </si>
  <si>
    <t>HALOPERIDOL 5 mg TABLET</t>
  </si>
  <si>
    <t>HEPATITIS B IMMUNOGLOBULIN INJECTION</t>
  </si>
  <si>
    <t>HEPATITIS B VACCINE INJECTION</t>
  </si>
  <si>
    <t>HYDROCHLOROTHIAZIDE 50 mg TABLET</t>
  </si>
  <si>
    <t>HYDROXYZINE 10 mg TABLET</t>
  </si>
  <si>
    <t>HYOSCINE 10 mg TABLET</t>
  </si>
  <si>
    <t>HYOSCINE INJECTION 20 mg/ml/amp</t>
  </si>
  <si>
    <t>IBUPROFEN 200 mg TABLET</t>
  </si>
  <si>
    <t>IBUPROFEN 400 mg TABLET</t>
  </si>
  <si>
    <t>IBUPROFEN SYRUP 100 mg/5 ml 60 ml</t>
  </si>
  <si>
    <t>ISONIAZID 100 mg TABLET</t>
  </si>
  <si>
    <t>ISOPHANE INSULIN INJ 100 IU/ml 10 ml/VIAL</t>
  </si>
  <si>
    <t>ISOSORBIDE DINITRATE 10 mg TABLET</t>
  </si>
  <si>
    <t>KETOCONAZOLE 200 mg TABLET</t>
  </si>
  <si>
    <t>LAMIVUDINE 150 MG TABLET (3TC)</t>
  </si>
  <si>
    <t>LIDOCAINE HCl 2 % JELLY 125 ml</t>
  </si>
  <si>
    <t>LORAZEPAM 0.5 mg TABLET</t>
  </si>
  <si>
    <t>LORAZEPAM 1 mg TABLET</t>
  </si>
  <si>
    <t>L-THYROXINE 0.1 mg TABLET</t>
  </si>
  <si>
    <t>MAGNESIUM SULFATE 10 % INJECTION</t>
  </si>
  <si>
    <t>MAGNESIUM SULFATE 50 % INJECTION</t>
  </si>
  <si>
    <t>MALAYAN PIT VIPER ANTIVENUM 10 ml/amp</t>
  </si>
  <si>
    <t>METFORMIN 500 mg TABLET</t>
  </si>
  <si>
    <t>METOCLOPRAMIDE 10 mg TABLET</t>
  </si>
  <si>
    <t>METRONIDAZOLE 200 mg TABLET</t>
  </si>
  <si>
    <t>MILK OF MAGNESIA</t>
  </si>
  <si>
    <t>MMR VACCINE INJECTION</t>
  </si>
  <si>
    <t>MULIVITAMIN SYRUP 60 ml</t>
  </si>
  <si>
    <t>MULTIVITAMIN TABLET</t>
  </si>
  <si>
    <t>NALOXONE HCl INJECTION 0.4 mg/ml/amp</t>
  </si>
  <si>
    <t>NEVIRAPINE MESILATE 200 MG TABLET</t>
  </si>
  <si>
    <t>NICLOSAMIDE 500 mg TABLET</t>
  </si>
  <si>
    <t>NORETHISTERONE 5 mg TABLET</t>
  </si>
  <si>
    <t>NORFLOXACIN 200 mg TABLET</t>
  </si>
  <si>
    <t>NORFLOXACIN 400 mg TABLET</t>
  </si>
  <si>
    <t>OFLOXACIN 200 mg TABLET</t>
  </si>
  <si>
    <t>OPV VACCINE INJECTION</t>
  </si>
  <si>
    <t>ORAL CONTRACEPTIVE PILL</t>
  </si>
  <si>
    <t>OXYTOCIN INJECTION 10 IU/ml/amp</t>
  </si>
  <si>
    <t>PARACETAMOL 325 mg TABLET</t>
  </si>
  <si>
    <t>PARACETAMOL 500 mg TABLET</t>
  </si>
  <si>
    <t>PARACETAMOL SYRUP 120 mg/5 ml</t>
  </si>
  <si>
    <t>PENICILLIN G SODIUM INJ 5 MIU</t>
  </si>
  <si>
    <t>PENICILLIN V 250 mg TABLET</t>
  </si>
  <si>
    <t>PENICILLIN V DRY SYRUP 125 mg/5 ml</t>
  </si>
  <si>
    <t>PERPHENAZINE 2 mg TABLET</t>
  </si>
  <si>
    <t>PERPHENAZINE 4 mg TABLET</t>
  </si>
  <si>
    <t>PERPHENAZINE 8 mg TABLET</t>
  </si>
  <si>
    <t>PETHIDINE HCl INJECTION 50 mg/ml/amp</t>
  </si>
  <si>
    <t>PHENOBARBITAL 30 mg TABLET</t>
  </si>
  <si>
    <t>PHENOBARBITAL 60 mg TABLET</t>
  </si>
  <si>
    <t>PHENYTOIN SODIUM 100 mg CAPSULE</t>
  </si>
  <si>
    <t xml:space="preserve">PHENYTOIN SODIUM INJECTION 50 mg/ml </t>
  </si>
  <si>
    <t>PILOCARPINE HCl 2 % EYE DROP</t>
  </si>
  <si>
    <t>PODOPHYLLINE 25 % SOLUTION</t>
  </si>
  <si>
    <t>POVIDONE IODINE 10 % SOLUTION 450 ml</t>
  </si>
  <si>
    <t>POVIDONE-IODINE 10 % SOLUTION  30 ml</t>
  </si>
  <si>
    <t>PRAZIQUANTEL 600 mg TABLET</t>
  </si>
  <si>
    <t>PREDNISOLONE 5 mg TABLET</t>
  </si>
  <si>
    <t>PRIMAQUINE 15 mg TABLET</t>
  </si>
  <si>
    <t>PROPANOLOL HCl 10 mg TABLET</t>
  </si>
  <si>
    <t>PROPYLTHIOURACIL 50 mg TABLET</t>
  </si>
  <si>
    <t>PYRAZINAMIDE 500 mg TABLET</t>
  </si>
  <si>
    <t>QUININE SULFATE 300 mg TABLET</t>
  </si>
  <si>
    <t>RABIES SERUM 1000 IU INJECTION 5 ml</t>
  </si>
  <si>
    <t>RABIES VACCINE INJECTION</t>
  </si>
  <si>
    <t>RANITIDINE 150 mg TABLET</t>
  </si>
  <si>
    <t>RANITIDINE 150 mg/ml INJECTION</t>
  </si>
  <si>
    <t>REGULAR INSULIN INJ 100 IU/ml 10 ml/VIAL</t>
  </si>
  <si>
    <t>RIFAMPICIN 300 mg CAPSULE</t>
  </si>
  <si>
    <t>RIFAMPICIN 450 mg CAPSULE</t>
  </si>
  <si>
    <t>ROXITHROMYCIN 150 mg TABLET</t>
  </si>
  <si>
    <t>RUBBING ALCOHOL 70 % 450 ml</t>
  </si>
  <si>
    <t>SALBUTAMOL 0.5 %W/V SOLUTION</t>
  </si>
  <si>
    <t>SALBUTAMOL 2 mg TABLET</t>
  </si>
  <si>
    <t>SALBUTAMOL ORAL INHALATION  200 DOSE</t>
  </si>
  <si>
    <t>SALBUTAMOL SYRUP 2 mg/5 ml 60 ml</t>
  </si>
  <si>
    <t>SILVER SULFADIAZINE 1 % CREAM 25 gm</t>
  </si>
  <si>
    <t>SILVER SULFADIAZINE CREAM 1 % 450 gm</t>
  </si>
  <si>
    <t>SIMVASTATIN 20 MG TABLET</t>
  </si>
  <si>
    <t>SODIUM BICARBONATE INJ 7.5 % 50 ml</t>
  </si>
  <si>
    <t>SODIUM BICARBORNATE  300 mg TABLET</t>
  </si>
  <si>
    <t>SPIRONOLACTONE 25 MG TABLET</t>
  </si>
  <si>
    <t>STAVUDINE 30 MG CAPSULE</t>
  </si>
  <si>
    <t>STREPTOMYCIN SULFATE 1 gm. INJECTION</t>
  </si>
  <si>
    <t>TERBUTALINE SULFATE  2.5 mg TABLET</t>
  </si>
  <si>
    <t>TETRACAINE HCl 0.5% EYE DROP</t>
  </si>
  <si>
    <t>THIORIDAZINE 25 mg TABLET</t>
  </si>
  <si>
    <t>THIORIDAZINE 50 mg TABLET</t>
  </si>
  <si>
    <t>THIORIDAZINE 100 mg TABLET</t>
  </si>
  <si>
    <t>TIMOLOL MALEATE EYE DROP 0.5 %</t>
  </si>
  <si>
    <t>TRAMADOL 100 MG INJECTION</t>
  </si>
  <si>
    <t>TRAMODOL 50 mg CAPSULE</t>
  </si>
  <si>
    <t>TRIAMCINOLONE 0.02 % CREAM</t>
  </si>
  <si>
    <t>TRIAMCINOLONE 0.1 % CREAM</t>
  </si>
  <si>
    <t>TRIAMCINOLONE 0.1 % ORAL PASTE</t>
  </si>
  <si>
    <t>TRIAMCINOLONE 10 mg/ml INJECTION</t>
  </si>
  <si>
    <t>TRIFLUOPERAZINE 5 mg TABLET</t>
  </si>
  <si>
    <t>TRIHEXYPHENADYL 2 mg TABLET</t>
  </si>
  <si>
    <t>VERAPAMIL 40 mg TABLET</t>
  </si>
  <si>
    <t>VITAMIN B COMPLEX INJECTION 1 ml/amp</t>
  </si>
  <si>
    <t>VITAMIN B COMPLEX TABLET</t>
  </si>
  <si>
    <t>VITAMIN K1 1 mg/0.5 ml INJECTION</t>
  </si>
  <si>
    <t>VITAMIN K1 10 mg/ml INJECTION</t>
  </si>
  <si>
    <t>WHITHFIELDS OINTMENT</t>
  </si>
  <si>
    <t>ZIDOVUDINE SYRUP 10 mg/ml 60 ml</t>
  </si>
  <si>
    <t>ขมิ้นชัน 350 mg CAPSULE</t>
  </si>
  <si>
    <t>ACYCLOVIR 5 % CREAM</t>
  </si>
  <si>
    <t>ANTACID SUSP.+SIMETHICONE</t>
  </si>
  <si>
    <t>VITAMIN C  100 mg TABLET</t>
  </si>
  <si>
    <t>BROMHEXINE 8 mg TABLET</t>
  </si>
  <si>
    <t>CETIRIZINE 10 mg TABLET</t>
  </si>
  <si>
    <t>LUBRICANT JELLY</t>
  </si>
  <si>
    <t>N-ACETYL CYSTEINE POWDER 200 mg/sack</t>
  </si>
  <si>
    <t>NYSTATIN 100,000 IU VAGINAL TABLET</t>
  </si>
  <si>
    <t>OLIVE OIL</t>
  </si>
  <si>
    <t>ORPHENADRINE + PARACETAMOL TABLET</t>
  </si>
  <si>
    <t>ORS รสส้ม สำหรับเด็ก</t>
  </si>
  <si>
    <t>ORS รสส้ม สำหรับผู้ใหญ่</t>
  </si>
  <si>
    <t>VITAMIN B1-6-12 TABLET</t>
  </si>
  <si>
    <t>WHITE SOFT PARAFFINE( VASLINE OIL)</t>
  </si>
  <si>
    <t>บอระเพ็ด 350 mg CAPSULE</t>
  </si>
  <si>
    <t>รางจืด (ชาชง)</t>
  </si>
  <si>
    <t>ลูกประคบสมุนไพร</t>
  </si>
  <si>
    <t>หญ้าหนวดแมว (ชาชง)</t>
  </si>
  <si>
    <t>AIRWAY,PLASTIC 60 mm.</t>
  </si>
  <si>
    <t>AIRWAY,PLASTIC 70 mm,</t>
  </si>
  <si>
    <t>AIRWAY,PLASTIC 80 mm.</t>
  </si>
  <si>
    <t>AIRWAY,PLASTIC 100 mm</t>
  </si>
  <si>
    <t>ATTEST 3M</t>
  </si>
  <si>
    <t>AUTOCLAVE TAPE 3/4"</t>
  </si>
  <si>
    <t>BREST PUMP</t>
  </si>
  <si>
    <t>COMPLY STEAM INDICATOR</t>
  </si>
  <si>
    <t>CONDOM FOR URETRATION</t>
  </si>
  <si>
    <t>CUTDOWN TUBE NO. 2.5</t>
  </si>
  <si>
    <t>CUTDOWN TUBE NO.3</t>
  </si>
  <si>
    <t>CUTDOWN TUBE NO.4.5</t>
  </si>
  <si>
    <t>CUTDOWN TUBE NO.6</t>
  </si>
  <si>
    <t>CUTDOWN TUBE NO.7.5</t>
  </si>
  <si>
    <t>CUTTING NEEDLE NO.18 1/2C</t>
  </si>
  <si>
    <t>CUTTING NEEDLE NO.21</t>
  </si>
  <si>
    <t>CUTTING NEEDLE NO.24 3/8C</t>
  </si>
  <si>
    <t>CUTTING NEEDLE NO.28</t>
  </si>
  <si>
    <t>CUTTING NEEDLE NO.32 3/8C</t>
  </si>
  <si>
    <t>CUTTING NEEDLE No.36</t>
  </si>
  <si>
    <t>CUTTING NEEDLE NO.45</t>
  </si>
  <si>
    <t>EKG GELL 100 gm</t>
  </si>
  <si>
    <t>EKG PAPER 3"</t>
  </si>
  <si>
    <t>ENDOTRACHEAL TUBE NO.2.5</t>
  </si>
  <si>
    <t>ENDOTRACHEAL TUBE NO.3</t>
  </si>
  <si>
    <t>ENDOTRACHEAL TUBE NO.3.5</t>
  </si>
  <si>
    <t>ENDOTRACHEAL TUBE NO.4</t>
  </si>
  <si>
    <t>ENDOTRACHEAL TUBE NO.4.5</t>
  </si>
  <si>
    <t>ENDOTRACHEAL TUBE NO.5</t>
  </si>
  <si>
    <t>ENDOTRACHEAL TUBE NO.5.5</t>
  </si>
  <si>
    <t>ENDOTRACHEAL TUBE NO.6</t>
  </si>
  <si>
    <t>ENDOTRACHEAL TUBE NO.6.5</t>
  </si>
  <si>
    <t>ENDOTRACHEAL TUBE NO.7</t>
  </si>
  <si>
    <t>ENDOTRACHEAL TUBE NO.7.5</t>
  </si>
  <si>
    <t>ENDOTRACHEAL TUBE NO.8</t>
  </si>
  <si>
    <t>EXTENSION TUBE</t>
  </si>
  <si>
    <t>HEPARIN LOCK</t>
  </si>
  <si>
    <t>MASK DISPOSABLE</t>
  </si>
  <si>
    <t>NEBULIZER FOR ADULT</t>
  </si>
  <si>
    <t>NEBULIZER FOR CHILD</t>
  </si>
  <si>
    <t>NEBULIZER SINGLE</t>
  </si>
  <si>
    <t>OXYGEN CANULA Fr.10</t>
  </si>
  <si>
    <t>ROUND NEEDLE NO.18</t>
  </si>
  <si>
    <t>ROUND NEEDLE NO.21</t>
  </si>
  <si>
    <t>ROUND NEEDLE NO.24</t>
  </si>
  <si>
    <t>ROUND NEEDLE NO.28</t>
  </si>
  <si>
    <t>ROUND NEEDLE NO.32</t>
  </si>
  <si>
    <t>SOFRATULE</t>
  </si>
  <si>
    <t>SUCTION TUBE NO.6</t>
  </si>
  <si>
    <t>SUCTION TUBE NO.8</t>
  </si>
  <si>
    <t>SUCTION TUBE NO.10</t>
  </si>
  <si>
    <t>SUCTION TUBE NO.12</t>
  </si>
  <si>
    <t>SUCTION TUBE NO.14</t>
  </si>
  <si>
    <t>SUCTION TUBE NO.16</t>
  </si>
  <si>
    <t>SUCTION TUBE NO.18</t>
  </si>
  <si>
    <t>SURGICAL BLADE NO.10</t>
  </si>
  <si>
    <t>SURGICAL BLADE NO.11</t>
  </si>
  <si>
    <t>SURGICAL BLADE NO.15</t>
  </si>
  <si>
    <t>SYRINGE BALL NO.1</t>
  </si>
  <si>
    <t>SYRINGE BALL NO.3</t>
  </si>
  <si>
    <t>TUNIGAE ขนาดเล็ก เบอร์ 200</t>
  </si>
  <si>
    <t>ULTRASOUND GEL</t>
  </si>
  <si>
    <t>ถ้วยยาน้ำ 30 ซี.ซี.</t>
  </si>
  <si>
    <t>ถ้วยยาเม็ด 30 ซี.ซี.</t>
  </si>
  <si>
    <t>ถุงยางอนามัย</t>
  </si>
  <si>
    <t>BLOOD TRANSFUTION SET</t>
  </si>
  <si>
    <t>CHROMIC CATGUT 1-0 W/N</t>
  </si>
  <si>
    <t>CHROMIC CATGUT No.2-0 W/N</t>
  </si>
  <si>
    <t>CHROMIC CATGUT No.3-0 W/N</t>
  </si>
  <si>
    <t>CHROMIC CATGUT No.4-0 W/N</t>
  </si>
  <si>
    <t>COLOSTOMY BAG</t>
  </si>
  <si>
    <t>COTTON BALL 1.4 gm/pc</t>
  </si>
  <si>
    <t>COTTON WOOL 450 gm</t>
  </si>
  <si>
    <t>DEXON NO.1-0 &amp; NEEDLE</t>
  </si>
  <si>
    <t>DEXON NO.3-0 &amp; NEEDLE</t>
  </si>
  <si>
    <t>ELASTIC BANDAGE 2"x5y</t>
  </si>
  <si>
    <t>ELASTIC BANDAGE 3"x5y</t>
  </si>
  <si>
    <t>ELASTIC BANDAGE 4"x5y</t>
  </si>
  <si>
    <t>ELASTIC BANDAGE 6"x5y</t>
  </si>
  <si>
    <t>FOLEY CATHETHER NO.8</t>
  </si>
  <si>
    <t>FOLEY CAHTETHER NO.10</t>
  </si>
  <si>
    <t>FOLEY CATHETHER NO.12</t>
  </si>
  <si>
    <t>FOLEY CATHETHER NO.14</t>
  </si>
  <si>
    <t>FOLEY CATHETHER NO.16</t>
  </si>
  <si>
    <t>FOLEY CATHETHER NO.18</t>
  </si>
  <si>
    <t>GAUZE 36"x100y (ตัด 3 ท่อน)</t>
  </si>
  <si>
    <t>GAUZE 36"x100y(ไม่ตัด)</t>
  </si>
  <si>
    <t>GAUZE PAD 3"x3"</t>
  </si>
  <si>
    <t>GLOVE ล้วงรก NO.6.5</t>
  </si>
  <si>
    <t>GLOVE ล้วงรก NO.7</t>
  </si>
  <si>
    <t>GLOVE,DISPOSABLE NO.L</t>
  </si>
  <si>
    <t>GLOVE,DISPOSABLE NO.M</t>
  </si>
  <si>
    <t>GLOVE,DISPOSABLE NO.S</t>
  </si>
  <si>
    <t>GLOVE,SURGICAL NO.6.5</t>
  </si>
  <si>
    <t>INFUSION SET, MICRODRIP</t>
  </si>
  <si>
    <t>INFUSION SET,ADULT</t>
  </si>
  <si>
    <t>IV CATHETHER NO.18</t>
  </si>
  <si>
    <t>IV CATHETHER NO.20</t>
  </si>
  <si>
    <t>IV CATHETHER NO.22</t>
  </si>
  <si>
    <t>IV CATHETHER NO.24</t>
  </si>
  <si>
    <t>LEUCOPLAST 1"</t>
  </si>
  <si>
    <t>MEDIPORE 2.5 cm x 10 m</t>
  </si>
  <si>
    <t>MICROPORE 0.5" x 10Y</t>
  </si>
  <si>
    <t>N.G. TUBE NO.16</t>
  </si>
  <si>
    <t>N.G. TUBE NO.5</t>
  </si>
  <si>
    <t>N.G. TUBE NO.6</t>
  </si>
  <si>
    <t>N.G. TUBE NO.8</t>
  </si>
  <si>
    <t>N.G. TUBE NO.10</t>
  </si>
  <si>
    <t>N.G. TUBE NO.12</t>
  </si>
  <si>
    <t>N.G. TUBE NO.14</t>
  </si>
  <si>
    <t>N.G. TUBE NO.18</t>
  </si>
  <si>
    <t>NEEDLE, DISPOSABLE NO.18x1.5"</t>
  </si>
  <si>
    <t>NEEDLE, DISPOSABLE NO.22x1"</t>
  </si>
  <si>
    <t>NEEDLE, DISPOSABLE NO.23x1.5"</t>
  </si>
  <si>
    <t>NEEDLE, DISPOSABLE NO.24x1"</t>
  </si>
  <si>
    <t>NEEDLE, DISPOSABLE NO.24x1.5"</t>
  </si>
  <si>
    <t>NEEDLE, DISPOSABLE NO.26x1/2"</t>
  </si>
  <si>
    <t>PLASTER OF PARIS BANDAGE 3"x3y</t>
  </si>
  <si>
    <t>PLASTER OF PARIS BANDAGE 4"x3y</t>
  </si>
  <si>
    <t>PLASTER OF PARIS BANDAGE 6"x3y</t>
  </si>
  <si>
    <t>ROLL GAUZE 3" x 6y</t>
  </si>
  <si>
    <t>SCALP VEIN NO.21</t>
  </si>
  <si>
    <t>SCALP VEIN NO.23</t>
  </si>
  <si>
    <t>SCALP VIEN NO.24</t>
  </si>
  <si>
    <t>SCALP VEIN NO.27</t>
  </si>
  <si>
    <t>SILK NO.2-0 ไม่ติดเข็ม</t>
  </si>
  <si>
    <t>SILK NO.3-0 ไม่ติดเข็ม</t>
  </si>
  <si>
    <t>SILK NO.4-0 ไม่ติดเข็ม</t>
  </si>
  <si>
    <t>SPINAL NEEDLE, DISPOSABEL # 22G</t>
  </si>
  <si>
    <t>SPINAL NEEDLE, DISPOSABLE # 23G</t>
  </si>
  <si>
    <t>SPINAL NEEDLE, DISPOSABLE # 24G</t>
  </si>
  <si>
    <t>SPINAL NEEDLE, DISPOSABLE # 25G</t>
  </si>
  <si>
    <t>SPLINT ROLL 3"</t>
  </si>
  <si>
    <t>SPLINT ROLL 6"</t>
  </si>
  <si>
    <t>SYRINGE, DISPOSABLE 3 ml</t>
  </si>
  <si>
    <t>SYRINGE, DISPOSABLE 5 ml</t>
  </si>
  <si>
    <t>SYRINGE, DISPOSABLE 50 ml</t>
  </si>
  <si>
    <t>SYRINGE IRRIGATION  50 ml</t>
  </si>
  <si>
    <t>THERMOMETER, ORAL</t>
  </si>
  <si>
    <t>THERMOMETER, RECTAL</t>
  </si>
  <si>
    <t>TRANSPORE 0.5"</t>
  </si>
  <si>
    <t>TRANSPORE 4"</t>
  </si>
  <si>
    <t>URINE BAG</t>
  </si>
  <si>
    <t>WEBRIL 3"</t>
  </si>
  <si>
    <t>WEBRIL 4"</t>
  </si>
  <si>
    <t>WEBRIL 6"</t>
  </si>
  <si>
    <t>tab.</t>
  </si>
  <si>
    <t>amp</t>
  </si>
  <si>
    <t>vial</t>
  </si>
  <si>
    <t>ANTAZOLINE 0.05%+TETRAHYDROZOLINE</t>
  </si>
  <si>
    <t>bott</t>
  </si>
  <si>
    <t>450 ml</t>
  </si>
  <si>
    <t xml:space="preserve">ATROPINE SULFATE 0.6 mg/ml </t>
  </si>
  <si>
    <t xml:space="preserve">BIPHASIC ISOPHANE INSULIN </t>
  </si>
  <si>
    <t xml:space="preserve">CALCIUM GLUCONATE INJECTION </t>
  </si>
  <si>
    <t>CHLORPHENIRAMINE INJECTION</t>
  </si>
  <si>
    <t xml:space="preserve">CHLORPROMAZINE INJECTION </t>
  </si>
  <si>
    <t>DOPAMINE HCl 25 mg/ml INJECTION</t>
  </si>
  <si>
    <t>BOTT</t>
  </si>
  <si>
    <t>AMP</t>
  </si>
  <si>
    <t xml:space="preserve">EPINEPHRINE BITARTRATE 1 mg/ml </t>
  </si>
  <si>
    <t>ERYTHROMYCIN ESTOLATE SYRUP</t>
  </si>
  <si>
    <t>VIAL</t>
  </si>
  <si>
    <t>IPRATROPIUM BROMIDE+FENOTEROL</t>
  </si>
  <si>
    <t xml:space="preserve">ISOSORBIDE DINITRATE 5 mg </t>
  </si>
  <si>
    <t>MEDROXYPROGESTERONE INJECTION</t>
  </si>
  <si>
    <t>METHYLERGOMETRINE INJECTION</t>
  </si>
  <si>
    <t xml:space="preserve">METOCLOPRAMIDE INJECTION </t>
  </si>
  <si>
    <t>METRONIDAZOLE INJECTION</t>
  </si>
  <si>
    <t>MORPHINE SULFATE INJECTION</t>
  </si>
  <si>
    <t xml:space="preserve">PRALIDOXIME CHLORIDE </t>
  </si>
  <si>
    <t>QUININE DIHYDROCHLORIDE INJ</t>
  </si>
  <si>
    <t>SODIUM BICARBONATE MIXTURE</t>
  </si>
  <si>
    <t xml:space="preserve">SODIUM CHLORIDE 0.9 % INJECTION </t>
  </si>
  <si>
    <t>TERBUTALINE SULFATE INJECTION</t>
  </si>
  <si>
    <t>ZIDOVUDINE 300 mg CAPSULE</t>
  </si>
  <si>
    <t>SACK</t>
  </si>
  <si>
    <t>อัน</t>
  </si>
  <si>
    <t>ยาหม่องไพล</t>
  </si>
  <si>
    <t>SET</t>
  </si>
  <si>
    <t>กล่อง</t>
  </si>
  <si>
    <t>ม้วน</t>
  </si>
  <si>
    <t>ใบ</t>
  </si>
  <si>
    <t>PLAIN CATGUT NO.2-0 &amp;</t>
  </si>
  <si>
    <t>SYRINGE INSULIN, DISPOSABLE 1 ml</t>
  </si>
  <si>
    <t>รวม</t>
  </si>
  <si>
    <t>DTP- Hepatitis B VACCINE INJECTION</t>
  </si>
  <si>
    <t>NEVIRAPINE FOR ORAL SUSPENSION</t>
  </si>
  <si>
    <t>RINGER LACTATED SOLUTION  500 ml</t>
  </si>
  <si>
    <t>RUBBING ALCOHOL 70 % 60 ml</t>
  </si>
  <si>
    <t>THEOPHYLLINE 200 mg SR TABLET</t>
  </si>
  <si>
    <t>WATER FOR INJECTION 100 ml</t>
  </si>
  <si>
    <t>ZIDOVUDINE 100 mg CAPSULE</t>
  </si>
  <si>
    <t>OMEPRAZOLE 20 mg EC CAPSULE</t>
  </si>
  <si>
    <t>CAP  DISPOSABLE</t>
  </si>
  <si>
    <t>SURGICAL BLADE NO.12</t>
  </si>
  <si>
    <t>GLOVE,DISPOSABLE NO.XS</t>
  </si>
  <si>
    <t>GLOVE,SURGICAL NO.7</t>
  </si>
  <si>
    <t>GLOVE,SURGICAL NO.7.5</t>
  </si>
  <si>
    <t>LEUCOPLAST 0.5"</t>
  </si>
  <si>
    <t>LEUCOPLAST 4"</t>
  </si>
  <si>
    <t>MEDIPORE 4" x 10 m</t>
  </si>
  <si>
    <t>NEEDLE, DISPOSABLE NO.21x1.5"</t>
  </si>
  <si>
    <t>SCALP VEIN NO.20</t>
  </si>
  <si>
    <t>SYRINGE, DISPOSABLE 10 ml</t>
  </si>
  <si>
    <t>SYRINGE, DISPOSABLE 20 ml</t>
  </si>
  <si>
    <t>PREGNANCY TEST</t>
  </si>
  <si>
    <t>ขวดพลาสติก 30 ซี.ซี.</t>
  </si>
  <si>
    <t>ขวดพลาสติก 60 ซี.ซี.</t>
  </si>
  <si>
    <t>ขวดพลาสติก 180 ซี.ซี.</t>
  </si>
  <si>
    <t>kg</t>
  </si>
  <si>
    <t>ซองซิบใส 4x6 ซ.ม.</t>
  </si>
  <si>
    <t>ซองซิบใส 5x7 ซ.ม.</t>
  </si>
  <si>
    <t>ซองซิบใส 6x8 ซ.ม.</t>
  </si>
  <si>
    <t>100's/pack</t>
  </si>
  <si>
    <t>ซองยา สอ.</t>
  </si>
  <si>
    <t>ถุงขยะดำ</t>
  </si>
  <si>
    <t>ถุงขยะแดง</t>
  </si>
  <si>
    <t>ถุงหูหิ้วขนาดเล็ก</t>
  </si>
  <si>
    <t>ถุงหูหิ้วขนาดใหญ่</t>
  </si>
  <si>
    <t>ดวง</t>
  </si>
  <si>
    <t>GEMFIBROZIL  300 mg CAPSULE</t>
  </si>
  <si>
    <t>SPECIAL  MUOTH  WASH  180 ML</t>
  </si>
  <si>
    <t>THREE-WAY STOP COCK</t>
  </si>
  <si>
    <t>BOWIE-DICK INDICATOR TEST SHEET</t>
  </si>
  <si>
    <t>NEEDLE, DISPOSABLE NO.25 X 1"</t>
  </si>
  <si>
    <t>GLOVE SURGICAL STERILE NO.8</t>
  </si>
  <si>
    <t>CHLORHEXIDINE 1 % CREAM</t>
  </si>
  <si>
    <t>WATERLESS CLEANSER  450 ml</t>
  </si>
  <si>
    <t>ISOPHANE INSULIN PENFIL 300 IU/3 ML</t>
  </si>
  <si>
    <t>SODIUM CHLORIDE 3 % INJECTION  500 ML</t>
  </si>
  <si>
    <t>น้ำมันไพล</t>
  </si>
  <si>
    <t>CEFTAZIDIME 1 GM</t>
  </si>
  <si>
    <t>BENZATHINE PENICIILIN G 1.2 M.U. INJECTION</t>
  </si>
  <si>
    <t>CALCIUM  POLYSTYRINE  SULFONATE  POWDER</t>
  </si>
  <si>
    <t>ASPIRIN  81  MG EC  TABLET</t>
  </si>
  <si>
    <t>CLOZAPINE  25 mg  TABLET</t>
  </si>
  <si>
    <t>CLOZAPINE  100 mg  TABLET</t>
  </si>
  <si>
    <t>CIPROFLOXACIN 250 mg</t>
  </si>
  <si>
    <t>FLUOXETINE  HCl  20 mg TABLET</t>
  </si>
  <si>
    <t>HALOPERIDOL 0.5 mg TABLET</t>
  </si>
  <si>
    <t>LOSARTAN  50 MG</t>
  </si>
  <si>
    <t>SIMETHICONE 80 MG TABLET</t>
  </si>
  <si>
    <t>CO-AMOXICLAV 1.2 gm inj.</t>
  </si>
  <si>
    <t>FUROSEMIDE 500 mg TABLET</t>
  </si>
  <si>
    <t>GPO-VIR Z250 TABLET</t>
  </si>
  <si>
    <t>IPRATROPIUM Br + FENOTEROL HCl INH.</t>
  </si>
  <si>
    <t>LACTULOSE SYRUP</t>
  </si>
  <si>
    <t>LIDOCAINE HCl 2 % INJECTION 20 ml/VIAL</t>
  </si>
  <si>
    <t>SODIUM VALPROATE  200 MG TABLET</t>
  </si>
  <si>
    <t>SODIUM VALPROATE  500 MG TABLET</t>
  </si>
  <si>
    <t>STAVUDINE 20 MG CAPSULE</t>
  </si>
  <si>
    <t>SULPROSTONE 0.5 MG INJ.</t>
  </si>
  <si>
    <t>ซองซิบสีชา 6x8 ซ.ม.</t>
  </si>
  <si>
    <t>หมึกพิมพ์ฉลาก PRERACK</t>
  </si>
  <si>
    <t>ADENOSINE 6 mg/2 ml INJECTION</t>
  </si>
  <si>
    <t>amp.</t>
  </si>
  <si>
    <t>ARTESUNATE 50 mg TABLET</t>
  </si>
  <si>
    <t>ARTESUNATE 60 mg INJECTION</t>
  </si>
  <si>
    <t>CAPD2 1.5 % 5000 ML</t>
  </si>
  <si>
    <t>CAPTOPRIL 25 mg TABLET</t>
  </si>
  <si>
    <t>CHLORDIAZEPOXIDE 5 mg TABLET</t>
  </si>
  <si>
    <t>CIPROFLOXACIN 200 MG INJECTION</t>
  </si>
  <si>
    <t>CYPROHEPTADINE 4 mg TABLET</t>
  </si>
  <si>
    <t>DIDANOSINE 125 mg TABLET</t>
  </si>
  <si>
    <t>GLIPIZIDE 5 mg TABLET</t>
  </si>
  <si>
    <t>EFAVIRENZ  200  MG TABLET</t>
  </si>
  <si>
    <t>EFAVIRENZ  600 mg TABLET</t>
  </si>
  <si>
    <t>HYDRALAZINE HCl 25 mg TABLET</t>
  </si>
  <si>
    <t>HYDROCORTISONE 100 mg INJECTION</t>
  </si>
  <si>
    <t>INFLUENZA VACCINE INJECTION</t>
  </si>
  <si>
    <t>LAMIVUDINE  300 MG TABLET</t>
  </si>
  <si>
    <t>LIDOCAINE 2 % + ADRE.  INJ. 20 ML</t>
  </si>
  <si>
    <t>LOPINAVIR / RITONAVIR TABLET</t>
  </si>
  <si>
    <t>METHOTREXATE 2.5 mg TABLET</t>
  </si>
  <si>
    <t>METHYLDOPA 250 mg TABLET</t>
  </si>
  <si>
    <t>METOPROLOL  100 MG TABLET</t>
  </si>
  <si>
    <t>OSELTAMIVIR  30 MG TABLET</t>
  </si>
  <si>
    <t>OSELTAMIVIR  45 MG TABLET</t>
  </si>
  <si>
    <t>OSELTAMIVIR 75 mg TABLET</t>
  </si>
  <si>
    <t>POTASSIUM CHLORIDE ELIXIR  240 ml</t>
  </si>
  <si>
    <t>SODIUM CHLORIDE 0.9 % FOR IRRIGATE</t>
  </si>
  <si>
    <t>STAVUDINE 40 MG CAPSULE</t>
  </si>
  <si>
    <t>DEXON NO.0 &amp; NEEDLE</t>
  </si>
  <si>
    <t>FOLEY CATHETHER NO.20</t>
  </si>
  <si>
    <t>SPLINT ROLL 4" 15 ชั้น</t>
  </si>
  <si>
    <t>THERMOMETER ห้อง</t>
  </si>
  <si>
    <t>ซองซิปสีชา 20x30 ซ.ม.</t>
  </si>
  <si>
    <t>สติกเกอร์กระดาษสีเขียว</t>
  </si>
  <si>
    <t>สติกเกอร์กระดาษสีแดง</t>
  </si>
  <si>
    <t>สติกเกอร์กระดาษสีน้ำเงิน</t>
  </si>
  <si>
    <t>สติกเกอร์กระดาษสีส้ม</t>
  </si>
  <si>
    <t>สติกเกอร์กระดาษสีเหลือง</t>
  </si>
  <si>
    <t>สติกเกอร์ยาฉีด ขนาด 2.5*5 ซ.ม.</t>
  </si>
  <si>
    <t>สติกเกอร์ยาน้ำ ขนาด 4*6 ซ.ม.</t>
  </si>
  <si>
    <t>สติ๊กเกอร์ยาพิมพ์1สีขนาด 5x8 ซม.</t>
  </si>
  <si>
    <t>TRIHEXYPHENADYL 5 mg TABLET</t>
  </si>
  <si>
    <t>CLARITHROMYCIN 500 MG TABLET</t>
  </si>
  <si>
    <t>CLONAZEPAM 0.5 MG TABLET</t>
  </si>
  <si>
    <t>CLONAZEPAM 2 MG TABLET</t>
  </si>
  <si>
    <t>CLOPIDOGREL 75 MG TABLET</t>
  </si>
  <si>
    <t>NORTRIPTYLINE 25 MG TABLET</t>
  </si>
  <si>
    <t>OMEPRAZOLE 40MG INJECTION</t>
  </si>
  <si>
    <t>PHENYTOIN SODIUM 50 mg CAPSULE</t>
  </si>
  <si>
    <t>POLYMYXIN+NEOMYCIN+GRAMICIDIN EYE DROPS</t>
  </si>
  <si>
    <t>bott.</t>
  </si>
  <si>
    <t>PRAZOSIN 2 mg TABLET</t>
  </si>
  <si>
    <t>SODIUM CHLORIDE 0.9 % INJECTION  3 ML</t>
  </si>
  <si>
    <t>SODIUM CHLORIDE 0.9 % INJECTION 5 ML</t>
  </si>
  <si>
    <t>ยาอมมะแว้ง</t>
  </si>
  <si>
    <t>TRIFERDINE 150 TABLET</t>
  </si>
  <si>
    <t>ยาธาตุอบชย  180 ml</t>
  </si>
  <si>
    <t xml:space="preserve">พิมเสนน้ำ </t>
  </si>
  <si>
    <t>GAUZE PAD 6X6</t>
  </si>
  <si>
    <t>TRANSPARENT DRESSING 6 X 7 CM</t>
  </si>
  <si>
    <t>COMPLY  DRY  HEAT INDICATOR</t>
  </si>
  <si>
    <t>COMPLY  EO INDICATOR</t>
  </si>
  <si>
    <t>ปากกาฉีดอินซูลิน</t>
  </si>
  <si>
    <t>ชุดทดสอบกรดซาลิซิลิคในอาหาร</t>
  </si>
  <si>
    <t>ชุดทดสอบโซเดียมไฮโดรซัลไฟต์ในอาหาร</t>
  </si>
  <si>
    <t>ชุดทดสอบบอแรกซ์ในอาหาร</t>
  </si>
  <si>
    <t>ชุดทดสอบฟอร์มาลินในอาหาร</t>
  </si>
  <si>
    <t>ชุด</t>
  </si>
  <si>
    <t>เครื่องตีป้ายฉลากสติกเกอร์</t>
  </si>
  <si>
    <t>kg.</t>
  </si>
  <si>
    <t>สติ๊กเกอร์กระดาษความร้อนขนาด8x6อำเภอน้ำยืน</t>
  </si>
  <si>
    <t>POVIDONE IODINE 7.5 % SCRUB  450 ML</t>
  </si>
  <si>
    <t>DOBUTAMINE HCl 250 mg INJECION</t>
  </si>
  <si>
    <t>FERROUS FUMARATE  200 MG TABLET</t>
  </si>
  <si>
    <t>JE VACCINE INJECTION</t>
  </si>
  <si>
    <t>LAMIVUDINE SYUP 10 MG/ML</t>
  </si>
  <si>
    <t>LITHIUM CARBONATE 300 MG TABLET</t>
  </si>
  <si>
    <t>NORTRIPTYLINE 10 MG TABLET</t>
  </si>
  <si>
    <t>RISPERIDONE 1 MG TABLET</t>
  </si>
  <si>
    <t>RISPERIDONE 2 MG TABLET</t>
  </si>
  <si>
    <t>SERTRALINE 50 MG TABLET</t>
  </si>
  <si>
    <t>SODIUM VALPROATE  SYRUP  200MG/ML</t>
  </si>
  <si>
    <t>TENOFOVIR  300  MG  TABLET</t>
  </si>
  <si>
    <t>TRAZODONE  50 MG TABLET</t>
  </si>
  <si>
    <t>คาลาไมม์พญายอ  1.25% 60 cc</t>
  </si>
  <si>
    <t>ชาชงชุมเห็ดเทศ</t>
  </si>
  <si>
    <t>ชุดอบสมุนไพร</t>
  </si>
  <si>
    <t>เถาว์วัลย์เปรียงแคปซูล</t>
  </si>
  <si>
    <t>ยาหม่องเสลดพังพอน</t>
  </si>
  <si>
    <t>NEEDLE, DISPOSABLE NO.22 x 1.5"</t>
  </si>
  <si>
    <t>SCALP VEIN NO.22</t>
  </si>
  <si>
    <t>SOLUTION INFUSION SET 100 ML</t>
  </si>
  <si>
    <t>สติ๊กเกอร์ความร้อนต่อเนื่องพิมพ์ รพ.น้ำยืน</t>
  </si>
  <si>
    <t>1000 ดวง</t>
  </si>
  <si>
    <t>SUCTION TUBE NO.5</t>
  </si>
  <si>
    <t>100ใบ/ห่อ</t>
  </si>
  <si>
    <t>ถุงหิ้วพิมพ์ขนาด 6x12นิ้ว (พิมพ์ สอ.น้ำยืน)</t>
  </si>
  <si>
    <t xml:space="preserve">สรุปแผนการจัดซื้อยา  วมย. แล วัสดุทั่วไป    </t>
  </si>
  <si>
    <t>ฝ่ายสัชกรรมชุมชน  โรงยาบาลน้ำยืน</t>
  </si>
  <si>
    <t>ปีงบ 2555</t>
  </si>
  <si>
    <t>ปีงบ 2556</t>
  </si>
  <si>
    <t>ปีงบ 2554</t>
  </si>
  <si>
    <t>วมย.</t>
  </si>
  <si>
    <t>วัสดุการแทย์</t>
  </si>
  <si>
    <t>ยา ED</t>
  </si>
  <si>
    <t>ยา NED</t>
  </si>
  <si>
    <t>วัสดุวิทยาศาสตร์</t>
  </si>
  <si>
    <t>วัสดุทั่วไป</t>
  </si>
  <si>
    <t>รวมมูลค่าทั้งหมด</t>
  </si>
  <si>
    <t>แผนจัดซื้อ</t>
  </si>
  <si>
    <t>มูลค่าการใช้</t>
  </si>
  <si>
    <t>มูลค่าการจัดซื้อ</t>
  </si>
  <si>
    <t>มูลค่าการจัดซื้อ/จัดหา</t>
  </si>
  <si>
    <t>MEASLE  VACCINE  INJECTION</t>
  </si>
  <si>
    <t>MEFLOQUINE 250 MG TABLET</t>
  </si>
  <si>
    <t>POTASSIUM CHLORIDE INJECTION 20 mEq</t>
  </si>
  <si>
    <t>WARFARIN 3 MG TABLET</t>
  </si>
  <si>
    <t>ยาลดไขมัน</t>
  </si>
  <si>
    <t>METHIMAZOLE 5 MG TABLET</t>
  </si>
  <si>
    <t>NICADIPINE 2 MG INJECTION</t>
  </si>
  <si>
    <t>ปีงบ 2557</t>
  </si>
  <si>
    <t>ปีงบ 2558</t>
  </si>
  <si>
    <t>ปีงบ 2557 (11M)</t>
  </si>
  <si>
    <t>หมายเหตุ</t>
  </si>
  <si>
    <t>ปีงบ 2559</t>
  </si>
  <si>
    <t>101176000004293220381306</t>
  </si>
  <si>
    <t>769833</t>
  </si>
  <si>
    <t>100222000004203120381620</t>
  </si>
  <si>
    <t>474181</t>
  </si>
  <si>
    <t>102075000000660110181537</t>
  </si>
  <si>
    <t>664297</t>
  </si>
  <si>
    <t>101206000004493120381506</t>
  </si>
  <si>
    <t>836513</t>
  </si>
  <si>
    <t>100070000000920430481506</t>
  </si>
  <si>
    <t>666691</t>
  </si>
  <si>
    <t>582261</t>
  </si>
  <si>
    <t>100006000004021220381506</t>
  </si>
  <si>
    <t>666517</t>
  </si>
  <si>
    <t>203030150018341120381169</t>
  </si>
  <si>
    <t>346795</t>
  </si>
  <si>
    <t>100655133001171010181537</t>
  </si>
  <si>
    <t>664526</t>
  </si>
  <si>
    <t>100789000003620121781506</t>
  </si>
  <si>
    <t>736949</t>
  </si>
  <si>
    <t>100789000003750120381506</t>
  </si>
  <si>
    <t>736965</t>
  </si>
  <si>
    <t>124813000003521120381421</t>
  </si>
  <si>
    <t>226262</t>
  </si>
  <si>
    <t>218050300529999930381506</t>
  </si>
  <si>
    <t>811036</t>
  </si>
  <si>
    <t>100176000004293220181506</t>
  </si>
  <si>
    <t>742102</t>
  </si>
  <si>
    <t>100176000004493120181506</t>
  </si>
  <si>
    <t>100176000000950330681506</t>
  </si>
  <si>
    <t>589323</t>
  </si>
  <si>
    <t>100145000002620110181506</t>
  </si>
  <si>
    <t>539622</t>
  </si>
  <si>
    <t>100145000004293220181506</t>
  </si>
  <si>
    <t>539900</t>
  </si>
  <si>
    <t>100145000004494110181506</t>
  </si>
  <si>
    <t>539646</t>
  </si>
  <si>
    <t>219010700017054160581389</t>
  </si>
  <si>
    <t>820388</t>
  </si>
  <si>
    <t>218040100019999970181222</t>
  </si>
  <si>
    <t>811193</t>
  </si>
  <si>
    <t>124821000003850120381587</t>
  </si>
  <si>
    <t>412299</t>
  </si>
  <si>
    <t>124821000003908110281587</t>
  </si>
  <si>
    <t>540918</t>
  </si>
  <si>
    <t>100736000004000120381606</t>
  </si>
  <si>
    <t>252141</t>
  </si>
  <si>
    <t>100736000004320120381055</t>
  </si>
  <si>
    <t>251534</t>
  </si>
  <si>
    <t>100439000004021220381421</t>
  </si>
  <si>
    <t>417165</t>
  </si>
  <si>
    <t>100349280000480210181506</t>
  </si>
  <si>
    <t>766735</t>
  </si>
  <si>
    <t>100150991005980110281414</t>
  </si>
  <si>
    <t>661235</t>
  </si>
  <si>
    <t>101646000006230141281506</t>
  </si>
  <si>
    <t>770205</t>
  </si>
  <si>
    <t>101385000001900540181506</t>
  </si>
  <si>
    <t>766863</t>
  </si>
  <si>
    <t>101445149134990210181421</t>
  </si>
  <si>
    <t>659518</t>
  </si>
  <si>
    <t>101255000003521120481506</t>
  </si>
  <si>
    <t>264414</t>
  </si>
  <si>
    <t>218050420749999930481506</t>
  </si>
  <si>
    <t>532586</t>
  </si>
  <si>
    <t>101705000002980170581620</t>
  </si>
  <si>
    <t>811879</t>
  </si>
  <si>
    <t>104040100029999940481506</t>
  </si>
  <si>
    <t>491292</t>
  </si>
  <si>
    <t>102210466002450130781178</t>
  </si>
  <si>
    <t>673196</t>
  </si>
  <si>
    <t>102209000006050121781457</t>
  </si>
  <si>
    <t>756222</t>
  </si>
  <si>
    <t>100977000001321410181506</t>
  </si>
  <si>
    <t>767041</t>
  </si>
  <si>
    <t>211060200019999910181452</t>
  </si>
  <si>
    <t>100618000003750120381079</t>
  </si>
  <si>
    <t>111348</t>
  </si>
  <si>
    <t>201020140220000030381506</t>
  </si>
  <si>
    <t>666847</t>
  </si>
  <si>
    <t>100118000002620110281084</t>
  </si>
  <si>
    <t>100131000002620110281562</t>
  </si>
  <si>
    <t>100133000002620110281539</t>
  </si>
  <si>
    <t>548805</t>
  </si>
  <si>
    <t>100028000003620120381620</t>
  </si>
  <si>
    <t>367559</t>
  </si>
  <si>
    <t>100137000002040360281625</t>
  </si>
  <si>
    <t>731508</t>
  </si>
  <si>
    <t>100853000003521121881625</t>
  </si>
  <si>
    <t>260867</t>
  </si>
  <si>
    <t>101172122001100741081389</t>
  </si>
  <si>
    <t>797843</t>
  </si>
  <si>
    <t>100241000004293220381506</t>
  </si>
  <si>
    <t>736983</t>
  </si>
  <si>
    <t>100008190003471120381506</t>
  </si>
  <si>
    <t>689744</t>
  </si>
  <si>
    <t>100008190000801210181506</t>
  </si>
  <si>
    <t>783664</t>
  </si>
  <si>
    <t>100008190000450230581506</t>
  </si>
  <si>
    <t>783714</t>
  </si>
  <si>
    <t>100821000004021221781506</t>
  </si>
  <si>
    <t>737008</t>
  </si>
  <si>
    <t>100821000003750121781625</t>
  </si>
  <si>
    <t>412730</t>
  </si>
  <si>
    <t>100821000003850121881625</t>
  </si>
  <si>
    <t>412753</t>
  </si>
  <si>
    <t>100821000000950910181506</t>
  </si>
  <si>
    <t>100180000000590110181175</t>
  </si>
  <si>
    <t>553107</t>
  </si>
  <si>
    <t>100180000004293221781185</t>
  </si>
  <si>
    <t>283778</t>
  </si>
  <si>
    <t>107401000004493120381592</t>
  </si>
  <si>
    <t>100207000004121120181040</t>
  </si>
  <si>
    <t>286622</t>
  </si>
  <si>
    <t>100207000001390510181592</t>
  </si>
  <si>
    <t>836993</t>
  </si>
  <si>
    <t>102235000003211220381169</t>
  </si>
  <si>
    <t>414924</t>
  </si>
  <si>
    <t>102235000003361120381252</t>
  </si>
  <si>
    <t>414948</t>
  </si>
  <si>
    <t>124846000003972121781506</t>
  </si>
  <si>
    <t>106908</t>
  </si>
  <si>
    <t>104337000003521120181445</t>
  </si>
  <si>
    <t>532658</t>
  </si>
  <si>
    <t>100103000002040340181456</t>
  </si>
  <si>
    <t>497522</t>
  </si>
  <si>
    <t>100103000004021280281592</t>
  </si>
  <si>
    <t>287461</t>
  </si>
  <si>
    <t>100153000002620110281472</t>
  </si>
  <si>
    <t>554602</t>
  </si>
  <si>
    <t>124847000004021220381169</t>
  </si>
  <si>
    <t>290184</t>
  </si>
  <si>
    <t>124847000003750120381169</t>
  </si>
  <si>
    <t>290204</t>
  </si>
  <si>
    <t>101803000001460441581231</t>
  </si>
  <si>
    <t>210010310017065210281175</t>
  </si>
  <si>
    <t>538644</t>
  </si>
  <si>
    <t>100001000003240120381079</t>
  </si>
  <si>
    <t>460086</t>
  </si>
  <si>
    <t>648634</t>
  </si>
  <si>
    <t>210010500017408130481506</t>
  </si>
  <si>
    <t>689480</t>
  </si>
  <si>
    <t>210010500018320120381506</t>
  </si>
  <si>
    <t>232212</t>
  </si>
  <si>
    <t>100016000003471120381078</t>
  </si>
  <si>
    <t>300268</t>
  </si>
  <si>
    <t>100272000004021220381621</t>
  </si>
  <si>
    <t>317412</t>
  </si>
  <si>
    <t>101380000000680310181506</t>
  </si>
  <si>
    <t>556491</t>
  </si>
  <si>
    <t>211020110027149110181408</t>
  </si>
  <si>
    <t>761064</t>
  </si>
  <si>
    <t>101147000003670120381506</t>
  </si>
  <si>
    <t>307685</t>
  </si>
  <si>
    <t>100854000003361120381506</t>
  </si>
  <si>
    <t>767143</t>
  </si>
  <si>
    <t>100854000003521120381506</t>
  </si>
  <si>
    <t>767162</t>
  </si>
  <si>
    <t>100854000000700210181506</t>
  </si>
  <si>
    <t>560472</t>
  </si>
  <si>
    <t>100702000000950610181592</t>
  </si>
  <si>
    <t>120291</t>
  </si>
  <si>
    <t>100702000003750120381055</t>
  </si>
  <si>
    <t>118049</t>
  </si>
  <si>
    <t>100173000004293220181040</t>
  </si>
  <si>
    <t>311394</t>
  </si>
  <si>
    <t>100173000000820430681506</t>
  </si>
  <si>
    <t>611029</t>
  </si>
  <si>
    <t>100571000003122220381079</t>
  </si>
  <si>
    <t>460220</t>
  </si>
  <si>
    <t>100571000000420210181335</t>
  </si>
  <si>
    <t>560694</t>
  </si>
  <si>
    <t>101313000003850120381506</t>
  </si>
  <si>
    <t>767209</t>
  </si>
  <si>
    <t>101313000001171210181592</t>
  </si>
  <si>
    <t>560813</t>
  </si>
  <si>
    <t>101314190003620120381169</t>
  </si>
  <si>
    <t>316906</t>
  </si>
  <si>
    <t>101314000003620120381248</t>
  </si>
  <si>
    <t>614740</t>
  </si>
  <si>
    <t>100416133000800810181247</t>
  </si>
  <si>
    <t>735852</t>
  </si>
  <si>
    <t>100191000004021220181620</t>
  </si>
  <si>
    <t>317816</t>
  </si>
  <si>
    <t>100619000003521120381421</t>
  </si>
  <si>
    <t>111471</t>
  </si>
  <si>
    <t>100619000003721120381421</t>
  </si>
  <si>
    <t>112032</t>
  </si>
  <si>
    <t>100942000001390380781144</t>
  </si>
  <si>
    <t>844098</t>
  </si>
  <si>
    <t>844080</t>
  </si>
  <si>
    <t>100388000000531310181506</t>
  </si>
  <si>
    <t>537227</t>
  </si>
  <si>
    <t>214020300017768120381078</t>
  </si>
  <si>
    <t>377574</t>
  </si>
  <si>
    <t>100141270004293220381078</t>
  </si>
  <si>
    <t>790263</t>
  </si>
  <si>
    <t>100141105000950330681078</t>
  </si>
  <si>
    <t>835842</t>
  </si>
  <si>
    <t>100483998015380210181714</t>
  </si>
  <si>
    <t>813135</t>
  </si>
  <si>
    <t>100218000004410220381506</t>
  </si>
  <si>
    <t>737096</t>
  </si>
  <si>
    <t>100488000004203120381144</t>
  </si>
  <si>
    <t>786261</t>
  </si>
  <si>
    <t>124864000004203120181506</t>
  </si>
  <si>
    <t>329812</t>
  </si>
  <si>
    <t>100786000003721120181169</t>
  </si>
  <si>
    <t>330919</t>
  </si>
  <si>
    <t>100814071000950710181625</t>
  </si>
  <si>
    <t>829928</t>
  </si>
  <si>
    <t>101870000003521120381506</t>
  </si>
  <si>
    <t>767471</t>
  </si>
  <si>
    <t>102063265009999941581506</t>
  </si>
  <si>
    <t>785218</t>
  </si>
  <si>
    <t>101070000000801110181247</t>
  </si>
  <si>
    <t>562408</t>
  </si>
  <si>
    <t>101070000003841120381506</t>
  </si>
  <si>
    <t>735712</t>
  </si>
  <si>
    <t>101070000000801110181506</t>
  </si>
  <si>
    <t>562227</t>
  </si>
  <si>
    <t>101070000004493120381625</t>
  </si>
  <si>
    <t>332730</t>
  </si>
  <si>
    <t>100590000004320120181421</t>
  </si>
  <si>
    <t>116432</t>
  </si>
  <si>
    <t>100092000001100310181506</t>
  </si>
  <si>
    <t>563055</t>
  </si>
  <si>
    <t>101724000000700550381222</t>
  </si>
  <si>
    <t>822777</t>
  </si>
  <si>
    <t>101441000003521120381506</t>
  </si>
  <si>
    <t>335437</t>
  </si>
  <si>
    <t>101444000003521120381040</t>
  </si>
  <si>
    <t>338139</t>
  </si>
  <si>
    <t>211010220017143110181474</t>
  </si>
  <si>
    <t>528719</t>
  </si>
  <si>
    <t>211010220017534110181474</t>
  </si>
  <si>
    <t>559286</t>
  </si>
  <si>
    <t>211010220017537110181474</t>
  </si>
  <si>
    <t>559433</t>
  </si>
  <si>
    <t>211010220017538110181474</t>
  </si>
  <si>
    <t>559609</t>
  </si>
  <si>
    <t>211010220017539110181474</t>
  </si>
  <si>
    <t>529214</t>
  </si>
  <si>
    <t>211010220017540110181474</t>
  </si>
  <si>
    <t>529401</t>
  </si>
  <si>
    <t>100994000001170610181474</t>
  </si>
  <si>
    <t>557392</t>
  </si>
  <si>
    <t>528598</t>
  </si>
  <si>
    <t>100994000001580310181084</t>
  </si>
  <si>
    <t>557469</t>
  </si>
  <si>
    <t>101124000000920430581506</t>
  </si>
  <si>
    <t>813745</t>
  </si>
  <si>
    <t>100100000004493120381078</t>
  </si>
  <si>
    <t>332155</t>
  </si>
  <si>
    <t>100823071001171210181625</t>
  </si>
  <si>
    <t>763969</t>
  </si>
  <si>
    <t>100823000003361120381506</t>
  </si>
  <si>
    <t>761135</t>
  </si>
  <si>
    <t>100823000003521120381506</t>
  </si>
  <si>
    <t>761157</t>
  </si>
  <si>
    <t>100823000003211220381169</t>
  </si>
  <si>
    <t>413772</t>
  </si>
  <si>
    <t>100823000000700110181625</t>
  </si>
  <si>
    <t>563142</t>
  </si>
  <si>
    <t xml:space="preserve">HALOPERIDOL 5 mg/ml INJECTION </t>
  </si>
  <si>
    <t>101531149004741110181433</t>
  </si>
  <si>
    <t>798139</t>
  </si>
  <si>
    <t>100653133003750120381169</t>
  </si>
  <si>
    <t>838204</t>
  </si>
  <si>
    <t>101063000003850120381506</t>
  </si>
  <si>
    <t>737134</t>
  </si>
  <si>
    <t>101382000004020110281730</t>
  </si>
  <si>
    <t>100803000003620120381506</t>
  </si>
  <si>
    <t>346321</t>
  </si>
  <si>
    <t>100354000020921010181506</t>
  </si>
  <si>
    <t>100354000023620120381630</t>
  </si>
  <si>
    <t>797993</t>
  </si>
  <si>
    <t>100722000004203120381506</t>
  </si>
  <si>
    <t>124854</t>
  </si>
  <si>
    <t>100722000004410220381456</t>
  </si>
  <si>
    <t>125663</t>
  </si>
  <si>
    <t>100722000000920430481506</t>
  </si>
  <si>
    <t>126269</t>
  </si>
  <si>
    <t>218030710017386170481423</t>
  </si>
  <si>
    <t>525764</t>
  </si>
  <si>
    <t>218030710018525370781423</t>
  </si>
  <si>
    <t>838289</t>
  </si>
  <si>
    <t>100215000004021220381506</t>
  </si>
  <si>
    <t>737152</t>
  </si>
  <si>
    <t>101445149174990210181421</t>
  </si>
  <si>
    <t>663569</t>
  </si>
  <si>
    <t>101445149174990210181415</t>
  </si>
  <si>
    <t>100658000003620120381506</t>
  </si>
  <si>
    <t>825656</t>
  </si>
  <si>
    <t>100658000003521120681247</t>
  </si>
  <si>
    <t>343259</t>
  </si>
  <si>
    <t>100111000004203120381506</t>
  </si>
  <si>
    <t>761174</t>
  </si>
  <si>
    <t>COBRA ANTIVENUM 10 ml/amp</t>
  </si>
  <si>
    <t>100934000001650130581421</t>
  </si>
  <si>
    <t>618356</t>
  </si>
  <si>
    <t>214010200047388110181562</t>
  </si>
  <si>
    <t>566447</t>
  </si>
  <si>
    <t>100558000000920910181506</t>
  </si>
  <si>
    <t>565737</t>
  </si>
  <si>
    <t>100558000002090240281597</t>
  </si>
  <si>
    <t>769473</t>
  </si>
  <si>
    <t>100825051004320120181122</t>
  </si>
  <si>
    <t>203050110038154180681013</t>
  </si>
  <si>
    <t>317270</t>
  </si>
  <si>
    <t>100864000003211220381445</t>
  </si>
  <si>
    <t>462294</t>
  </si>
  <si>
    <t>100864000003281120381445</t>
  </si>
  <si>
    <t>462315</t>
  </si>
  <si>
    <t>124889000003850121781562</t>
  </si>
  <si>
    <t>114112</t>
  </si>
  <si>
    <t>101485255003032120381457</t>
  </si>
  <si>
    <t>689147</t>
  </si>
  <si>
    <t>100944094001320710181625</t>
  </si>
  <si>
    <t>761220</t>
  </si>
  <si>
    <t>100944094001580610181625</t>
  </si>
  <si>
    <t>761277</t>
  </si>
  <si>
    <t>101468006001171210181601</t>
  </si>
  <si>
    <t>147029</t>
  </si>
  <si>
    <t>100234000004293220381625</t>
  </si>
  <si>
    <t>101434000004493121781506</t>
  </si>
  <si>
    <t>374764</t>
  </si>
  <si>
    <t>101489000003521120381171</t>
  </si>
  <si>
    <t>459215</t>
  </si>
  <si>
    <t>100328000003400120381526</t>
  </si>
  <si>
    <t>147692</t>
  </si>
  <si>
    <t>100598000004293220381506</t>
  </si>
  <si>
    <t>101515438000410610181592</t>
  </si>
  <si>
    <t>761347</t>
  </si>
  <si>
    <t>101322000003620120381592</t>
  </si>
  <si>
    <t>387100</t>
  </si>
  <si>
    <t>101322000000700210181506</t>
  </si>
  <si>
    <t>569975</t>
  </si>
  <si>
    <t>100440000004021220381169</t>
  </si>
  <si>
    <t>100275000000700110181185</t>
  </si>
  <si>
    <t>737175</t>
  </si>
  <si>
    <t>570174</t>
  </si>
  <si>
    <t>101209000009999930481506</t>
  </si>
  <si>
    <t>777322</t>
  </si>
  <si>
    <t>102233280003622110114190</t>
  </si>
  <si>
    <t>535924</t>
  </si>
  <si>
    <t>201110200019999930581506</t>
  </si>
  <si>
    <t>676297</t>
  </si>
  <si>
    <t>201110200019999920381506</t>
  </si>
  <si>
    <t>768167</t>
  </si>
  <si>
    <t>100770133000450110181109</t>
  </si>
  <si>
    <t>768237</t>
  </si>
  <si>
    <t>124912000003622110181329</t>
  </si>
  <si>
    <t>770464</t>
  </si>
  <si>
    <t>100077000004493120381506</t>
  </si>
  <si>
    <t>389488</t>
  </si>
  <si>
    <t>101475000003521120381185</t>
  </si>
  <si>
    <t>448542</t>
  </si>
  <si>
    <t>100179000004203120381506</t>
  </si>
  <si>
    <t>481998</t>
  </si>
  <si>
    <t>100179000004410221781606</t>
  </si>
  <si>
    <t>392040</t>
  </si>
  <si>
    <t>100801000003620120381169</t>
  </si>
  <si>
    <t>399699</t>
  </si>
  <si>
    <t>100801000003750120381169</t>
  </si>
  <si>
    <t>399718</t>
  </si>
  <si>
    <t>207010200027828180281079</t>
  </si>
  <si>
    <t>469474</t>
  </si>
  <si>
    <t>100182000004203120381040</t>
  </si>
  <si>
    <t>356085</t>
  </si>
  <si>
    <t>102111000000190131281040</t>
  </si>
  <si>
    <t>787824</t>
  </si>
  <si>
    <t>101343000003721120181421</t>
  </si>
  <si>
    <t>104721</t>
  </si>
  <si>
    <t>101343000003840110281185</t>
  </si>
  <si>
    <t>105426</t>
  </si>
  <si>
    <t>207030110167706121881398</t>
  </si>
  <si>
    <t>731481</t>
  </si>
  <si>
    <t>201070700019999930781055</t>
  </si>
  <si>
    <t>844578</t>
  </si>
  <si>
    <t>762008</t>
  </si>
  <si>
    <t>140980000003972120181506</t>
  </si>
  <si>
    <t>339422</t>
  </si>
  <si>
    <t>140980000003771120181506</t>
  </si>
  <si>
    <t>339326</t>
  </si>
  <si>
    <t>101510000004810110181592</t>
  </si>
  <si>
    <t>573724</t>
  </si>
  <si>
    <t>100752000004350220381169</t>
  </si>
  <si>
    <t>276319</t>
  </si>
  <si>
    <t>100752000004493120381506</t>
  </si>
  <si>
    <t>402653</t>
  </si>
  <si>
    <t>100752000000940330581506</t>
  </si>
  <si>
    <t>100150000005670110281562</t>
  </si>
  <si>
    <t>660902</t>
  </si>
  <si>
    <t>100152000004293220381078</t>
  </si>
  <si>
    <t>826947</t>
  </si>
  <si>
    <t>100152000000950330681202</t>
  </si>
  <si>
    <t>826981</t>
  </si>
  <si>
    <t>100815000003361121881625</t>
  </si>
  <si>
    <t>408407</t>
  </si>
  <si>
    <t>100815000003471121881625</t>
  </si>
  <si>
    <t>408448</t>
  </si>
  <si>
    <t>100815000003613121781169</t>
  </si>
  <si>
    <t>414706</t>
  </si>
  <si>
    <t>130101000003852110114190</t>
  </si>
  <si>
    <t>535995</t>
  </si>
  <si>
    <t>100867000003771120381506</t>
  </si>
  <si>
    <t>742490</t>
  </si>
  <si>
    <t>100867000003910120381506</t>
  </si>
  <si>
    <t>742517</t>
  </si>
  <si>
    <t>100772000004021220181625</t>
  </si>
  <si>
    <t>315673</t>
  </si>
  <si>
    <t>100772000001171210181735</t>
  </si>
  <si>
    <t>769642</t>
  </si>
  <si>
    <t>100348000000921060581289</t>
  </si>
  <si>
    <t>522450</t>
  </si>
  <si>
    <t>204110100076230141581222</t>
  </si>
  <si>
    <t>788761</t>
  </si>
  <si>
    <t>219010100057119160581389</t>
  </si>
  <si>
    <t>820326</t>
  </si>
  <si>
    <t>100939000001321530581267</t>
  </si>
  <si>
    <t>100939000001390410181484</t>
  </si>
  <si>
    <t>519545</t>
  </si>
  <si>
    <t>798435</t>
  </si>
  <si>
    <t>102166000001321441581506</t>
  </si>
  <si>
    <t>763159</t>
  </si>
  <si>
    <t>767705</t>
  </si>
  <si>
    <t>102166000001280541081389</t>
  </si>
  <si>
    <t>789026</t>
  </si>
  <si>
    <t>100368056002620110281574</t>
  </si>
  <si>
    <t>722633</t>
  </si>
  <si>
    <t>100075000004511220381625</t>
  </si>
  <si>
    <t>415127</t>
  </si>
  <si>
    <t>100455000003361120381079</t>
  </si>
  <si>
    <t>413890</t>
  </si>
  <si>
    <t>101391000003521120381506</t>
  </si>
  <si>
    <t>768581</t>
  </si>
  <si>
    <t>100243000003590120381506</t>
  </si>
  <si>
    <t>417545</t>
  </si>
  <si>
    <t>100443000003620120381506</t>
  </si>
  <si>
    <t>689255</t>
  </si>
  <si>
    <t>101490000003850120381506</t>
  </si>
  <si>
    <t>419422</t>
  </si>
  <si>
    <t>100221000004493120381506</t>
  </si>
  <si>
    <t>737199</t>
  </si>
  <si>
    <t>100235000001490210181506</t>
  </si>
  <si>
    <t>577618</t>
  </si>
  <si>
    <t>100235000004320120381506</t>
  </si>
  <si>
    <t>799763</t>
  </si>
  <si>
    <t>101549243015060110181528</t>
  </si>
  <si>
    <t>762684</t>
  </si>
  <si>
    <t>101564000054770110181276</t>
  </si>
  <si>
    <t>669450</t>
  </si>
  <si>
    <t>101335000004121120381421</t>
  </si>
  <si>
    <t>105691</t>
  </si>
  <si>
    <t>101335000000950910181592</t>
  </si>
  <si>
    <t>106585</t>
  </si>
  <si>
    <t>101445149004990210181421</t>
  </si>
  <si>
    <t>663582</t>
  </si>
  <si>
    <t>100212000004320120181506</t>
  </si>
  <si>
    <t>429093</t>
  </si>
  <si>
    <t>100212000004461120181506</t>
  </si>
  <si>
    <t>737217</t>
  </si>
  <si>
    <t>211010110049999910181474</t>
  </si>
  <si>
    <t>786566</t>
  </si>
  <si>
    <t>124929000003281121781602</t>
  </si>
  <si>
    <t>737238</t>
  </si>
  <si>
    <t>124929000003361121781602</t>
  </si>
  <si>
    <t>737255</t>
  </si>
  <si>
    <t>100143000004121121781606</t>
  </si>
  <si>
    <t>322355</t>
  </si>
  <si>
    <t>101804000050160241581506</t>
  </si>
  <si>
    <t>800133</t>
  </si>
  <si>
    <t>766109</t>
  </si>
  <si>
    <t>100409000000700170781592</t>
  </si>
  <si>
    <t>527750</t>
  </si>
  <si>
    <t>100409000000540270781335</t>
  </si>
  <si>
    <t>827598</t>
  </si>
  <si>
    <t>100409000003361120381506</t>
  </si>
  <si>
    <t>436351</t>
  </si>
  <si>
    <t>100409000000450230581506</t>
  </si>
  <si>
    <t>670887</t>
  </si>
  <si>
    <t>218030610028525170481336</t>
  </si>
  <si>
    <t>770734</t>
  </si>
  <si>
    <t>SERETIDE  EVOHALER 25/250</t>
  </si>
  <si>
    <t>123897133003850121781479</t>
  </si>
  <si>
    <t>737293</t>
  </si>
  <si>
    <t>100286000002040640181079</t>
  </si>
  <si>
    <t>762054</t>
  </si>
  <si>
    <t>762031</t>
  </si>
  <si>
    <t>101254000053991120381620</t>
  </si>
  <si>
    <t>334320</t>
  </si>
  <si>
    <t>105573000003721120381421</t>
  </si>
  <si>
    <t>117308</t>
  </si>
  <si>
    <t>100926000001280210181625</t>
  </si>
  <si>
    <t>768762</t>
  </si>
  <si>
    <t>100926000004320120381634</t>
  </si>
  <si>
    <t>789982</t>
  </si>
  <si>
    <t>200926000009999930381506</t>
  </si>
  <si>
    <t>827956</t>
  </si>
  <si>
    <t>100942000000780210181474</t>
  </si>
  <si>
    <t>770813</t>
  </si>
  <si>
    <t>777636</t>
  </si>
  <si>
    <t>100942000001010110181474</t>
  </si>
  <si>
    <t>731169</t>
  </si>
  <si>
    <t>100776255004203120481185</t>
  </si>
  <si>
    <t>790762</t>
  </si>
  <si>
    <t>100776255004493121781043</t>
  </si>
  <si>
    <t>644649</t>
  </si>
  <si>
    <t>101172122000601050481252</t>
  </si>
  <si>
    <t>757547</t>
  </si>
  <si>
    <t>101048000003750120381421</t>
  </si>
  <si>
    <t>346585</t>
  </si>
  <si>
    <t>100096000002620110281625</t>
  </si>
  <si>
    <t>579187</t>
  </si>
  <si>
    <t>723378</t>
  </si>
  <si>
    <t>100419280000460210181506</t>
  </si>
  <si>
    <t>761922</t>
  </si>
  <si>
    <t>100419280003400120381079</t>
  </si>
  <si>
    <t>697713</t>
  </si>
  <si>
    <t>101530000016240210181272</t>
  </si>
  <si>
    <t>761750</t>
  </si>
  <si>
    <t>101180133000700160581289</t>
  </si>
  <si>
    <t>779751</t>
  </si>
  <si>
    <t>100188000002040660281506</t>
  </si>
  <si>
    <t>836940</t>
  </si>
  <si>
    <t>101832000004203120581185</t>
  </si>
  <si>
    <t>395908</t>
  </si>
  <si>
    <t>100818000004021220381472</t>
  </si>
  <si>
    <t>428009</t>
  </si>
  <si>
    <t>100818000003750120381472</t>
  </si>
  <si>
    <t>428130</t>
  </si>
  <si>
    <t>100818000003850120381472</t>
  </si>
  <si>
    <t>428218</t>
  </si>
  <si>
    <t>100437000000700160581531</t>
  </si>
  <si>
    <t>530684</t>
  </si>
  <si>
    <t>100751000003850120181620</t>
  </si>
  <si>
    <t>344502</t>
  </si>
  <si>
    <t>100751000001171110181592</t>
  </si>
  <si>
    <t>581233</t>
  </si>
  <si>
    <t>100779133003850120381606</t>
  </si>
  <si>
    <t>816793</t>
  </si>
  <si>
    <t>101174009001900240181606</t>
  </si>
  <si>
    <t>828616</t>
  </si>
  <si>
    <t>101174009001900240181592</t>
  </si>
  <si>
    <t>786371</t>
  </si>
  <si>
    <t>101174009000801210181592</t>
  </si>
  <si>
    <t>664655</t>
  </si>
  <si>
    <t>101174009001800140181078</t>
  </si>
  <si>
    <t>828560</t>
  </si>
  <si>
    <t>201120320037726221781506</t>
  </si>
  <si>
    <t>737414</t>
  </si>
  <si>
    <t>100819000003521121781506</t>
  </si>
  <si>
    <t>737433</t>
  </si>
  <si>
    <t>100382133003521120381506</t>
  </si>
  <si>
    <t>643663</t>
  </si>
  <si>
    <t>100382133003361120381506</t>
  </si>
  <si>
    <t>643616</t>
  </si>
  <si>
    <t>100670000003841120381185</t>
  </si>
  <si>
    <t>110980</t>
  </si>
  <si>
    <t>201110510019999920381506</t>
  </si>
  <si>
    <t>769247</t>
  </si>
  <si>
    <t>201110510019999910181084</t>
  </si>
  <si>
    <t>766844</t>
  </si>
  <si>
    <t>101916000000590710181625</t>
  </si>
  <si>
    <t>791258</t>
  </si>
  <si>
    <t>101913000010801210181084</t>
  </si>
  <si>
    <t>769350</t>
  </si>
  <si>
    <t>101895000004021220381144</t>
  </si>
  <si>
    <t>665306</t>
  </si>
  <si>
    <t>102185165000000010181474</t>
  </si>
  <si>
    <t>779284</t>
  </si>
  <si>
    <t>101804000050160241581673</t>
  </si>
  <si>
    <t>100222000002160740181169</t>
  </si>
  <si>
    <t>485606</t>
  </si>
  <si>
    <t>213020100022250240181456</t>
  </si>
  <si>
    <t>696929</t>
  </si>
  <si>
    <t>201020140057413230481456</t>
  </si>
  <si>
    <t>689904</t>
  </si>
  <si>
    <t>101158000003613120381169</t>
  </si>
  <si>
    <t>383642</t>
  </si>
  <si>
    <t>670553</t>
  </si>
  <si>
    <t>101108000002170410281055</t>
  </si>
  <si>
    <t>536330</t>
  </si>
  <si>
    <t>213030200018277120381620</t>
  </si>
  <si>
    <t>276632</t>
  </si>
  <si>
    <t>201110400017853120381055</t>
  </si>
  <si>
    <t>828876</t>
  </si>
  <si>
    <t>CO-AMOXICLAV 625 MG TABLET</t>
  </si>
  <si>
    <t>POLYGELINE SOLUTION (HAEMACCEL)</t>
  </si>
  <si>
    <t>Hcode</t>
  </si>
  <si>
    <t>รหัส TMT</t>
  </si>
  <si>
    <t>รหัสยา 24 หลัก</t>
  </si>
  <si>
    <t>รูปแบบ</t>
  </si>
  <si>
    <t>หน่วย</t>
  </si>
  <si>
    <t>บรรจุ</t>
  </si>
  <si>
    <t>ข้อมูลการใช้ย้อนหลัง 3 ปี</t>
  </si>
  <si>
    <t>มูลค่ารวม</t>
  </si>
  <si>
    <t>(บาท)</t>
  </si>
  <si>
    <t>มูลค่า (บาท)</t>
  </si>
  <si>
    <t xml:space="preserve">  ไตรมาส 2 (ม.ค.- มี.ค.)</t>
  </si>
  <si>
    <t xml:space="preserve">  ไตรมาส 1 (ต.ค.- ธ.ค.)</t>
  </si>
  <si>
    <t xml:space="preserve"> ไตรมาส 4 (ก.ค.- ก.ย.)</t>
  </si>
  <si>
    <t xml:space="preserve"> ไตรมาส 3 (เม.ย.- มิ.ย.)</t>
  </si>
  <si>
    <t>รหัสวัสดุการแพทย์</t>
  </si>
  <si>
    <t>ยอด</t>
  </si>
  <si>
    <t>รหัสวัสดุวิทยาศาสตร์</t>
  </si>
  <si>
    <t>รายการวัสดุวิทยาศาสตร์</t>
  </si>
  <si>
    <t>รหัสวัสดุทั่วไป</t>
  </si>
  <si>
    <t>รายการวัสดุทั่วไป(เภสัชกรรม)</t>
  </si>
  <si>
    <t>101208017002450130781460</t>
  </si>
  <si>
    <t>101172122002040340181122</t>
  </si>
  <si>
    <t>101416000006020121781185</t>
  </si>
  <si>
    <t>100395000000950210281020</t>
  </si>
  <si>
    <t>101804000050190141581673</t>
  </si>
  <si>
    <t>100772000003850120381602</t>
  </si>
  <si>
    <t>100544000011060110181273</t>
  </si>
  <si>
    <t>CLINDAMYCIN 300 mg TAB</t>
  </si>
  <si>
    <t>CLINDAMYCIN 600 mg INJECTION</t>
  </si>
  <si>
    <t>LOCAL ANASTH.+ASTRINGENT+ANTIINFLAM.</t>
  </si>
  <si>
    <t>MORPHINE SULFATE 10 MG TABLET</t>
  </si>
  <si>
    <t>MORPHINE SULFATE 10 MG/5 ML SYRUP 60 ML</t>
  </si>
  <si>
    <t>STREPTOKINASE 1,500,000 UNIT INJECTION</t>
  </si>
  <si>
    <t>UREA 10 % CREAM</t>
  </si>
  <si>
    <t>WARFARIN 2 MG TABLET</t>
  </si>
  <si>
    <t>WARFARIN SODIUM 4 MG TABLET</t>
  </si>
  <si>
    <t>sack</t>
  </si>
  <si>
    <t>ยาหม่องน้ำ 8 ซีซี</t>
  </si>
  <si>
    <t>bag.</t>
  </si>
  <si>
    <t>gm</t>
  </si>
  <si>
    <t>เส้น</t>
  </si>
  <si>
    <t>100ชิ้น/กล่อง</t>
  </si>
  <si>
    <t>pack</t>
  </si>
  <si>
    <t>คู่</t>
  </si>
  <si>
    <t>CARBAMAZEPINE 200 MG TABLET</t>
  </si>
  <si>
    <t>กระดาษทดสอบโคลีนเอสเตอเรส</t>
  </si>
  <si>
    <t>TABLET</t>
  </si>
  <si>
    <t>POWDER</t>
  </si>
  <si>
    <t>CREAM</t>
  </si>
  <si>
    <t>INJECTION</t>
  </si>
  <si>
    <t>SUSPENSION</t>
  </si>
  <si>
    <t>ml</t>
  </si>
  <si>
    <t>MIXTURE</t>
  </si>
  <si>
    <t>CAPSULE</t>
  </si>
  <si>
    <t>cap.</t>
  </si>
  <si>
    <t>SYRUP</t>
  </si>
  <si>
    <t>DRY SYRUP</t>
  </si>
  <si>
    <t>POWDER FOR INJECTION</t>
  </si>
  <si>
    <t>SOLUTION</t>
  </si>
  <si>
    <t>EMULSION</t>
  </si>
  <si>
    <t>INHALATION</t>
  </si>
  <si>
    <t>LOTION</t>
  </si>
  <si>
    <t>OINTMENT</t>
  </si>
  <si>
    <t>VAGINAL TABLET</t>
  </si>
  <si>
    <t>SHAMPOO</t>
  </si>
  <si>
    <t>dT  VACCINE  INJECTION ( 10 dose/vial)</t>
  </si>
  <si>
    <t>litre</t>
  </si>
  <si>
    <t>JELLY</t>
  </si>
  <si>
    <t>GELL</t>
  </si>
  <si>
    <t>ELIXIR</t>
  </si>
  <si>
    <t>ORALL PASTE</t>
  </si>
  <si>
    <t>PASTE</t>
  </si>
  <si>
    <t>ชาชง</t>
  </si>
  <si>
    <t>PILL</t>
  </si>
  <si>
    <t>ลูกประคบ</t>
  </si>
  <si>
    <t>PACK</t>
  </si>
  <si>
    <t>ชาชงหญ้าดอกขาว</t>
  </si>
  <si>
    <t>TEST KIT</t>
  </si>
  <si>
    <t>set</t>
  </si>
  <si>
    <t>test</t>
  </si>
  <si>
    <t xml:space="preserve">        ยาแผนปัจจุบัน</t>
  </si>
  <si>
    <t xml:space="preserve">        ยาสมุนไพร</t>
  </si>
  <si>
    <t>100775000004203120381185</t>
  </si>
  <si>
    <t>100207000004320120181040</t>
  </si>
  <si>
    <t>102222255003361120381457</t>
  </si>
  <si>
    <t>102222255003471120381457</t>
  </si>
  <si>
    <t>ชื่อยา</t>
  </si>
  <si>
    <t>หน่วยบรรจุ</t>
  </si>
  <si>
    <t>ราคาต่อหน่วยบรรจุ</t>
  </si>
  <si>
    <t>มูลค่ารวม (บาท)</t>
  </si>
  <si>
    <t>ไตรมาส 1(ต.ค.-ธ.ค.)</t>
  </si>
  <si>
    <t>ไตรมาส 2(ม.ค.-มี.ค.)</t>
  </si>
  <si>
    <t>ไตรมาส 3(เม.ย-มิ.ย)</t>
  </si>
  <si>
    <t>ไตรมาส 4(ก.ค.-ก.ย.)</t>
  </si>
  <si>
    <t>ชื่อวัสดุการแพทย์</t>
  </si>
  <si>
    <t xml:space="preserve">  2 =NED</t>
  </si>
  <si>
    <t xml:space="preserve">   1=ED /   </t>
  </si>
  <si>
    <t>ขวดพลาสติก 1000 ซี.ซี.</t>
  </si>
  <si>
    <t xml:space="preserve">จำนวนจ่าย </t>
  </si>
  <si>
    <t>FERROUS(III)HYDROXISE POLYMALTOSE COMPLEX SYRUP</t>
  </si>
  <si>
    <t>FLUMAZENIL 0.5 MG INJ. 5 ML</t>
  </si>
  <si>
    <t>CV</t>
  </si>
  <si>
    <t>AV</t>
  </si>
  <si>
    <t>BV</t>
  </si>
  <si>
    <t>ประมาณจ่าย 12 เดือน</t>
  </si>
  <si>
    <t>คงคลัง/pack</t>
  </si>
  <si>
    <t>CASTOR OIL</t>
  </si>
  <si>
    <t>IPV INJECTION</t>
  </si>
  <si>
    <t>ABC</t>
  </si>
  <si>
    <t>VEN</t>
  </si>
  <si>
    <t>ยาต้มหลังคลอด</t>
  </si>
  <si>
    <t>ลูก</t>
  </si>
  <si>
    <t>ผิวมะกรูด</t>
  </si>
  <si>
    <t>ว่านชักมดลูก</t>
  </si>
  <si>
    <t>ว่านนางคำ</t>
  </si>
  <si>
    <t>ว่านมหาเมฆ</t>
  </si>
  <si>
    <t>ไพล</t>
  </si>
  <si>
    <t>ขมิ้นขัน(สด)</t>
  </si>
  <si>
    <t>ใบหนาด</t>
  </si>
  <si>
    <t>T/4</t>
  </si>
  <si>
    <t>ยามัด</t>
  </si>
  <si>
    <t>วัตถุดิบ</t>
  </si>
  <si>
    <t>ซองซิบสีชา ขนาด 4X6ซม</t>
  </si>
  <si>
    <t>COTTON BALL 0.35 gm/pc  2 ก้อน/pack</t>
  </si>
  <si>
    <t>101257000000190131281222</t>
  </si>
  <si>
    <t>101172122001100641581606</t>
  </si>
  <si>
    <t>100207000004510110181168</t>
  </si>
  <si>
    <t>210010310018388121781791</t>
  </si>
  <si>
    <t>100489000000950730581109</t>
  </si>
  <si>
    <t>101971000000370210181496</t>
  </si>
  <si>
    <t>102233280000590530814190</t>
  </si>
  <si>
    <t>102233280003620120314190</t>
  </si>
  <si>
    <t>140980000001501120181506</t>
  </si>
  <si>
    <t>100942000000780210181484</t>
  </si>
  <si>
    <t>100776255001460930881252</t>
  </si>
  <si>
    <t>100552000005760110281020</t>
  </si>
  <si>
    <t>301760000002240240110667</t>
  </si>
  <si>
    <t>102222255003421120381457</t>
  </si>
  <si>
    <t>102199000003210110281429</t>
  </si>
  <si>
    <t>ZINC PASTE</t>
  </si>
  <si>
    <t>ปีงบ 2560</t>
  </si>
  <si>
    <t>ยา</t>
  </si>
  <si>
    <t>JE Live-Attenuated VACCINE INJECTION</t>
  </si>
  <si>
    <t>PHENYTOIN SODIUM 100 mg CAPSULE SR</t>
  </si>
  <si>
    <t>ETONOGESTREL 68 MG (ยาฝังคุมกำเนิด)</t>
  </si>
  <si>
    <t>IMPLANT</t>
  </si>
  <si>
    <t>OBIMIN AZ TABLET</t>
  </si>
  <si>
    <t>TOP DRESSING 3"X6"  50's</t>
  </si>
  <si>
    <t>TOP DRESSING 4x6  50's</t>
  </si>
  <si>
    <t>แผ่น</t>
  </si>
  <si>
    <t>หน่วยย่อย</t>
  </si>
  <si>
    <t>1</t>
  </si>
  <si>
    <t>ขวด</t>
  </si>
  <si>
    <t>CE</t>
  </si>
  <si>
    <t>LEVODOPA 100 mg+BENZERAZIDE 25 mg CAPSULE</t>
  </si>
  <si>
    <t>CN</t>
  </si>
  <si>
    <t>AE</t>
  </si>
  <si>
    <t>BE</t>
  </si>
  <si>
    <t>BN</t>
  </si>
  <si>
    <t>AN</t>
  </si>
  <si>
    <t>ORA SWEET SOLUTION</t>
  </si>
  <si>
    <t>Litr</t>
  </si>
  <si>
    <t>RILPIVIRINE 25 MG.</t>
  </si>
  <si>
    <t>Ritonavir 100 mg Tablet</t>
  </si>
  <si>
    <t>Tenofovir300mg +Emtricitabine 200mg.</t>
  </si>
  <si>
    <t>ZILARVIR 60 TAB</t>
  </si>
  <si>
    <t>ทิงเจอร์พญายอ</t>
  </si>
  <si>
    <t>AZITHROMYCIN 250 MG TABLET</t>
  </si>
  <si>
    <t>BISOPROLOL 2.5 MG TABLET</t>
  </si>
  <si>
    <t>CARVEDILOL 12.5 MG TABLET</t>
  </si>
  <si>
    <t>CLONAZEPAM 1 MG TABLET</t>
  </si>
  <si>
    <t>ETHYL ALCOHOL 95% 450 ML.</t>
  </si>
  <si>
    <t>Flupentixol 40 mg/2ml inj.</t>
  </si>
  <si>
    <t>GABAPENTIN 400 MG TABLET</t>
  </si>
  <si>
    <t>Blood set fot infusion pump</t>
  </si>
  <si>
    <t>ชิ้น</t>
  </si>
  <si>
    <t>เช็ครายการและหน่วยก่อน</t>
  </si>
  <si>
    <t>CALCIUM CARBONATE 600-625 mg  TABLET</t>
  </si>
  <si>
    <t>NYLON # 2-0    DS24  36's/pack</t>
  </si>
  <si>
    <t>NYLON # 3-0    DS24  36's/pack</t>
  </si>
  <si>
    <t>NYLON # 4-0    DS19  36's/pack</t>
  </si>
  <si>
    <t>NYLON # 5-0    DS19  36's/pack</t>
  </si>
  <si>
    <t>NYLON # 6-0    DS16  36's/pack</t>
  </si>
  <si>
    <t>MISOPROSTOL 200 mcGM TABLET (Cytotec)</t>
  </si>
  <si>
    <t>เพิ่ม 5%</t>
  </si>
  <si>
    <t>ประมาณการซื้อ วมย. ปี 60 ทั้งปี</t>
  </si>
  <si>
    <t>ประมาณการจ่าย วมย. ปี 60 ทั้งปี</t>
  </si>
  <si>
    <t>แผนเดิม60</t>
  </si>
  <si>
    <t>เกินแผน</t>
  </si>
  <si>
    <t>SUMT</t>
  </si>
  <si>
    <t>มูลค่าเฉลี่ยแผน/ไตรมาส</t>
  </si>
  <si>
    <t>ราคาต่อ</t>
  </si>
  <si>
    <t xml:space="preserve"> (บาท)</t>
  </si>
  <si>
    <t>รวมมูลค่าทั้งสิ้น (บาท)</t>
  </si>
  <si>
    <t>(นายสิทธิชัย  ทะคำวงษ์)</t>
  </si>
  <si>
    <t>(นายชัยวัฒน์  ดาราสิชฌน์)</t>
  </si>
  <si>
    <t>ตำแหน่ง เภสัชกรชำนาญการ</t>
  </si>
  <si>
    <t>ตำแหน่ง  ผู้อำนวยการโรงพยาบาลน้ำยืน</t>
  </si>
  <si>
    <t>ตำแหน่ง นายแพทย์สาธารณสุขจังหวัด</t>
  </si>
  <si>
    <t>ผู้เห็นชอบแผน</t>
  </si>
  <si>
    <t>ผู้อนุมัติแผน</t>
  </si>
  <si>
    <t>ANALGESIC CREAM สูตรผสม 25-30 gm</t>
  </si>
  <si>
    <t>ซื้อ</t>
  </si>
  <si>
    <t>BUDESONIDE AEROSOL INHALATION 200mcg</t>
  </si>
  <si>
    <t>รวมT3-4</t>
  </si>
  <si>
    <t>รวมปรับเพิ่ม วมย.</t>
  </si>
  <si>
    <t>รวมT1-2</t>
  </si>
  <si>
    <t>ENEMA FOR ADULT 100 ml</t>
  </si>
  <si>
    <t>SERETIDE  EVOHALER 25/125</t>
  </si>
  <si>
    <t>เกลือหมากเม็ก</t>
  </si>
  <si>
    <t>พิมเสน</t>
  </si>
  <si>
    <t>COTTON BALL 0.35 gm/pc ชุบแอลกอฮอล์ 10 ก้อน</t>
  </si>
  <si>
    <t>สติกเกอร์พื้นสีเขียว ขนาด 1.5x3.5 ซ.ม.</t>
  </si>
  <si>
    <t>สติกเกอร์พื้นสีแดง ขนาด 1.5x3.5 ซ.ม.</t>
  </si>
  <si>
    <t>สติกเกอร์พื้นสีเหลือง ขนาด 1.5x3.5 ซ.ม.</t>
  </si>
  <si>
    <t>ARTEMISIN-COMBINATION 320/40 MG TABLET</t>
  </si>
  <si>
    <t>HUMAN PAPILLOMA VIRUS VACCINE</t>
  </si>
  <si>
    <t>LEVODOPA 200 MG+BENZERAZIDE 50 MG TABLET</t>
  </si>
  <si>
    <t>TETANUS ANTITOXIN 250 IU (Human)</t>
  </si>
  <si>
    <t>ชาใบเตย</t>
  </si>
  <si>
    <t>ชามะตูม</t>
  </si>
  <si>
    <t>COTTON BALL 0.35 gm/pc  450 gm</t>
  </si>
  <si>
    <t>VICRYL PLUS  2-0 31 มม</t>
  </si>
  <si>
    <t>TETRACYCLINE 1 % EYE OINTMENT (Chlortetra.)</t>
  </si>
  <si>
    <t xml:space="preserve">GAUZE PAD 3X3 sterile (4 ชิ้น)                    </t>
  </si>
  <si>
    <t>TOP DRESSING 6X8   1's</t>
  </si>
  <si>
    <t>ไม้พันสำลี เบอร์ L   6"</t>
  </si>
  <si>
    <t>VICRYL PLUS  3-0 31 มม</t>
  </si>
  <si>
    <t>CHLORHEXIDINE 2 % SCRUB</t>
  </si>
  <si>
    <t>COTTON 0.35 GM STERILE  30'S</t>
  </si>
  <si>
    <t>ไม้พันสำลี เบอร์ L   6"  STERILE  4 ก้าน</t>
  </si>
  <si>
    <t xml:space="preserve">SET DRY ( GAUZE PAD 3X3 +ไม้พันสำลี  sterile (4 ชิ้น))   </t>
  </si>
  <si>
    <t>EYE PAD No.L</t>
  </si>
  <si>
    <t>TOP DRESSING 3"X6"  STERILE  1"s/pack</t>
  </si>
  <si>
    <t>GAUZE DRAIN 1/2"x4y  STERILE</t>
  </si>
  <si>
    <t>GAUZE DRAIN 1/4"x4y  STERILE</t>
  </si>
  <si>
    <t xml:space="preserve">SPORE TEST EO (Prospore2 EO) 50's                      </t>
  </si>
  <si>
    <t>ว่านชักมดลูก แคปซูล 30's</t>
  </si>
  <si>
    <t>ปราบชมพูทวีป แคปซูล 100's</t>
  </si>
  <si>
    <t>จันทน์ลีลา แคปซูล</t>
  </si>
  <si>
    <t>ยาหอมทิพโอสถ</t>
  </si>
  <si>
    <t>ยาหอมเทพจิตร</t>
  </si>
  <si>
    <t>ยาเลือดงาม</t>
  </si>
  <si>
    <t>ยาตรีผลา</t>
  </si>
  <si>
    <t>ยาเหลืองปิดสมุทร</t>
  </si>
  <si>
    <t>ยาประสะไพล</t>
  </si>
  <si>
    <t>ANTI VENUM FOR NERVOUS SYSTEM</t>
  </si>
  <si>
    <t>ANTI VENUM FOR BLOOD SYSTEM</t>
  </si>
  <si>
    <t>ELASTIC TUBULAR NET BANDAGE  0.5"</t>
  </si>
  <si>
    <t>แผนการซื้อ วมย. ปี 62</t>
  </si>
  <si>
    <t>แผนการซื้อ วมย. ปี 61</t>
  </si>
  <si>
    <t>ไม่รวมวัสดุทั่วไปเภสัชกรรม</t>
  </si>
  <si>
    <t>(นายสุวิทย์  โรจนศักดิ์โสธร)</t>
  </si>
  <si>
    <t>ปีงบ 2561</t>
  </si>
  <si>
    <t>ปีงบ 2562</t>
  </si>
  <si>
    <t>ปีงบ 2561 (10 เดือนประมาณการ 12 เดือน)</t>
  </si>
  <si>
    <t>ยาสนับสนุน</t>
  </si>
  <si>
    <t>ยอดใช้ประมาณการจาก 3 ไตรมาส 61</t>
  </si>
  <si>
    <t>ใช้ปี 2563</t>
  </si>
  <si>
    <t>จัดซื้อปี 2563</t>
  </si>
  <si>
    <t xml:space="preserve">Poliomyelitis vaccine (IPV)   10 dose                 </t>
  </si>
  <si>
    <t>GAUZE PAD 3"x3" +ไม้พันสำลี Sterile 4 ชิ้น</t>
  </si>
  <si>
    <t>ACTIVATED  CHARCOAL POWDER 50 gm</t>
  </si>
  <si>
    <t>ACTIVATED  CHARCOAL POWDER 5 gm</t>
  </si>
  <si>
    <t>LIDOCAINE 2 % + ADRE.  INJ. 50 ML</t>
  </si>
  <si>
    <t>เพชรสังฆาต 500 mg CAPSULE</t>
  </si>
  <si>
    <t xml:space="preserve">สเปรย์ตะไคร้หอม 60 ml.                            </t>
  </si>
  <si>
    <t xml:space="preserve">ตลับยา 5 G                                        </t>
  </si>
  <si>
    <t xml:space="preserve">เครื่องปริ้นเตอร์ความร้อน (Printer  Thermal)      </t>
  </si>
  <si>
    <t>เครื่อง</t>
  </si>
  <si>
    <t xml:space="preserve">SPORE TEST STEAM                                  </t>
  </si>
  <si>
    <t>FOLEY CATHETHER NO.6</t>
  </si>
  <si>
    <t>ซองซิบสีชา ขนาด 9X14ซม</t>
  </si>
  <si>
    <t>ซองซิบใส ขนาด 9X14ซม</t>
  </si>
  <si>
    <t>Elastic แบบปลอกขนาด3นิ้ว(สต๊อคคิเนส)</t>
  </si>
  <si>
    <t>Elastic แบบปลอกขนาด4นิ้ว(สต๊อคคิเนส)</t>
  </si>
  <si>
    <t>Elastic แบบปลอกขนาด6นิ้ว(สต๊อคคิเนส)</t>
  </si>
  <si>
    <t>Defibrillator Zoll Gell</t>
  </si>
  <si>
    <t>หลอด</t>
  </si>
  <si>
    <t>ABACAVIR 600 mg+LAMIVUDINE 300 mg TABLET</t>
  </si>
  <si>
    <t>DIPENHYDRAMINE 25 mg.</t>
  </si>
  <si>
    <t>HUMAN SERUM ALBUMIN INJ.20% 50 ML.</t>
  </si>
  <si>
    <t>Lopinavir 120 tab</t>
  </si>
  <si>
    <t>LCD 3% Cream 30 gm.</t>
  </si>
  <si>
    <t>METHYLPREDNISOLONE NA SUCC 1 G INJ.</t>
  </si>
  <si>
    <t>MIANSERIN 10 MG.</t>
  </si>
  <si>
    <t>LEVOFLOXACIN 500 MG TABLET</t>
  </si>
  <si>
    <t>Piracetam 400 mg. 500 tab</t>
  </si>
  <si>
    <t>Terramycin eye oint</t>
  </si>
  <si>
    <t>INFUSION PUMP SET (perfect set)</t>
  </si>
  <si>
    <t>ฟ้าทะลายโจร 500 mg CAPSULE</t>
  </si>
  <si>
    <t>OXYGEN CANULA Fr.10  Disposable</t>
  </si>
  <si>
    <t>ไม้กดลิ้น 100's  ใครซื้อ?</t>
  </si>
  <si>
    <t>แผนการซื้อ วมย. ปี 63</t>
  </si>
  <si>
    <t>Hydroxychloroquine  200 mg.</t>
  </si>
  <si>
    <t>10 เดือน</t>
  </si>
  <si>
    <t>ABACAVIR 300 mg Tablet</t>
  </si>
  <si>
    <t>ยาน้ำมะขามป้อม 60 ml.</t>
  </si>
  <si>
    <t>ATAZANAVIR 200 MG.</t>
  </si>
  <si>
    <t>N-acetylcysteine 300 mg  inj.</t>
  </si>
  <si>
    <t>dT  VACCINE  INJECTION ( 10 dose/vial)นักเรียน</t>
  </si>
  <si>
    <t>DTP-HEP B-HIb (10 dose/vial)</t>
  </si>
  <si>
    <t>ETHAMBUTOL 500 MG.</t>
  </si>
  <si>
    <t>Influenza vaccine 4 dose/vial.</t>
  </si>
  <si>
    <t>Measles  Rubella vaccine</t>
  </si>
  <si>
    <t>Measles Mumps Rubella Vaccine (9 เดือน)</t>
  </si>
  <si>
    <t>NOREPINEPHRINE 1 MG/ML  4ML.</t>
  </si>
  <si>
    <t>METHYL PHENIDATE 10 MG TABLET (20x10's)</t>
  </si>
  <si>
    <t>ROTAVIRUS VACCINE</t>
  </si>
  <si>
    <t>TDF300+FTC200+EFV600 TABLET[TEEVIR]</t>
  </si>
  <si>
    <t>FACE SHIELD</t>
  </si>
  <si>
    <t>IV CATHETHER NO.16</t>
  </si>
  <si>
    <t>IV CATHETHER NO.26</t>
  </si>
  <si>
    <t>NEEDLES FOR PENFILL</t>
  </si>
  <si>
    <t>THERMO / HYGROMETER แบบดิจิตอล(ห้อง)</t>
  </si>
  <si>
    <t>THERMO / HYGROMETER แบบดิจิตอล(ตู้เย็น)</t>
  </si>
  <si>
    <t>ขวด 450 CC พร้อมหัวปั้ม</t>
  </si>
  <si>
    <t>ซองซิบใส ขนาด 12*20ซม (รวบ 10*20ซม.+12*17ซม.)</t>
  </si>
  <si>
    <t>ซองซิบใส ขนาด 20*30ซม (เปลี่ยนจาก 15*23ซม.)</t>
  </si>
  <si>
    <t>สติกเกอร์ PREPACK สีแดง (เครื่องตีป้าย) 2.1*3 ซม.</t>
  </si>
  <si>
    <t>สติกเกอร์ PREPACK สีน้ำเงิน (เครื่องตีป้าย) 2.1*3 ซม.</t>
  </si>
  <si>
    <t>สติ๊กเกอร์ HAD สีแดงขนาด1*5 ซม.</t>
  </si>
  <si>
    <t>สติ๊กเกอร์ฉลากช่วย เก็บยาในตู้เย็น ขนาด1*3ซม.</t>
  </si>
  <si>
    <t>สติ๊กเกอร์ฉลากช่วย เก็บยาให้พ้นแสง ขนาด1*3.5ซม.</t>
  </si>
  <si>
    <t>สติ๊กเกอร์ยาใกล้หมดอายุใช้ก่อนขนาด1.5*5ซม.</t>
  </si>
  <si>
    <t>เครื่องวัดอุณหภูมิและความชื้นสัมพัทธ์</t>
  </si>
  <si>
    <t>สติ๊กเกอร์ฉลากช่วย เคลื่อนย้ายอันดับ1 ขนาด3*10ซม.</t>
  </si>
  <si>
    <t>สติกเกอร์ต่อเนื่อง PREPACK สีน้ำเงิน 8.5*4 cm.</t>
  </si>
  <si>
    <t>สติ๊กเกอร์ต่อเนื่อง PREPACK สีแดง 8.5*4 cm.</t>
  </si>
  <si>
    <t>สติกเกอร์ต่อเนื่อง PREPACK สีเขียว 8.5*4 cm.</t>
  </si>
  <si>
    <t>ใบเป้า แห้ง</t>
  </si>
  <si>
    <t>ตะไคร้หอม แห้ง</t>
  </si>
  <si>
    <t>ใบมะขาม แห้ง</t>
  </si>
  <si>
    <t>คอตึงบดแห้ง</t>
  </si>
  <si>
    <t>แป้งข้าวจ้าว</t>
  </si>
  <si>
    <t>ถุง</t>
  </si>
  <si>
    <t>การบูร</t>
  </si>
  <si>
    <t xml:space="preserve">SPORE TEST STEAM   50's                               </t>
  </si>
  <si>
    <t>ใช้ปี 2565</t>
  </si>
  <si>
    <t>จัดซื้อปี 2565</t>
  </si>
  <si>
    <t xml:space="preserve">RISPERIDONE 1MG/1ML                               </t>
  </si>
  <si>
    <t xml:space="preserve">SILYMARIN 140 MG    250's                              </t>
  </si>
  <si>
    <t xml:space="preserve">SILYMARIN 70 mg                                   </t>
  </si>
  <si>
    <t xml:space="preserve">ตำรับยาทำลายพระสุเมร                              </t>
  </si>
  <si>
    <t xml:space="preserve">ตำรับยาศุขไสยาศน์                                 </t>
  </si>
  <si>
    <t xml:space="preserve">COMPLY BOWIE-DICK INDICATOR SHEET TEST            </t>
  </si>
  <si>
    <t>ALCOHOL 72 %</t>
  </si>
  <si>
    <t>ลิตร</t>
  </si>
  <si>
    <t>ALCOHOL 93 %</t>
  </si>
  <si>
    <t>ALCOHOL 95% (บริจาค)</t>
  </si>
  <si>
    <t>ALCOHOL HANDRUB (แกลลอน)</t>
  </si>
  <si>
    <t>แกลลอน</t>
  </si>
  <si>
    <t>Atorvastatin 40 mg tablet</t>
  </si>
  <si>
    <t>Doxazosin 4 mg tablet</t>
  </si>
  <si>
    <t>ENOXAPARIN 40 mg./0.4 ml inj.</t>
  </si>
  <si>
    <t>ETHAMBUTOL 500 MG  TABLET</t>
  </si>
  <si>
    <t>FAVIPIRAVIR 200 MG TAB.</t>
  </si>
  <si>
    <t>GLYCERINE</t>
  </si>
  <si>
    <t>HYDROGEN PEROXIDE SOLUTION 20 VOL</t>
  </si>
  <si>
    <t>IMIPRAMINE 10 MG.  TABLET</t>
  </si>
  <si>
    <t>Lercanidipine 20 mg</t>
  </si>
  <si>
    <t>Loratadine 10 mg. 500 tab</t>
  </si>
  <si>
    <t>Mixtard insuline(30/70)  300 iu 3 ml</t>
  </si>
  <si>
    <t>Piperacillin 4 g+Tazobactam 500 mg</t>
  </si>
  <si>
    <t>RISPERIDONE 1MG/1ML</t>
  </si>
  <si>
    <t>SILYMARIN 140 MG</t>
  </si>
  <si>
    <t>Sulfasalazine 500 mg tablet</t>
  </si>
  <si>
    <t>Tenofovir300=Emtri200+Efavirenz600 mg</t>
  </si>
  <si>
    <t>Verapamil 240 mg. 30 tab</t>
  </si>
  <si>
    <t>Sterile water  1,000 ml. For Irrigation</t>
  </si>
  <si>
    <t>ALCOHOL HANDRUB 100 ML.</t>
  </si>
  <si>
    <t>ยาหม่องขี้ผึ้งไพล 50 กรัม</t>
  </si>
  <si>
    <t>GAUZE PAD 3X3 VASLINE  5 ชิ้น / ซอง</t>
  </si>
  <si>
    <t>ห่อ</t>
  </si>
  <si>
    <t>MASK N95</t>
  </si>
  <si>
    <t>12 เดือน</t>
  </si>
  <si>
    <t>ขมิ้นชันผงแห้ง</t>
  </si>
  <si>
    <t>สมุนไพรสด(ทับหม้อเกลือ)</t>
  </si>
  <si>
    <t>(นางจิรนันท์  พวงพิมพ์)</t>
  </si>
  <si>
    <t>ตำแหน่ง เจ้าพนักงานเภสัชกรรมปฏิบัติงาน</t>
  </si>
  <si>
    <t>ขนาด</t>
  </si>
  <si>
    <t>เจ้าหน้าที่</t>
  </si>
  <si>
    <t>หัวหน้าเจ้าหน้าที่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</si>
</sst>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.000_ ;\-#,##0.000\ "/>
    <numFmt numFmtId="189" formatCode="0.0000"/>
    <numFmt numFmtId="190" formatCode="#,##0.0000"/>
    <numFmt numFmtId="191" formatCode="0.000"/>
    <numFmt numFmtId="192" formatCode="#,##0.000"/>
    <numFmt numFmtId="193" formatCode="#,##0_ ;\-#,##0\ "/>
    <numFmt numFmtId="194" formatCode="0.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#,##0.0"/>
    <numFmt numFmtId="200" formatCode="#,##0.##"/>
  </numFmts>
  <fonts count="70">
    <font>
      <sz val="14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color indexed="8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rdia New"/>
      <family val="2"/>
    </font>
    <font>
      <b/>
      <sz val="10"/>
      <name val="Cordia New"/>
      <family val="2"/>
    </font>
    <font>
      <sz val="10"/>
      <color indexed="8"/>
      <name val="Cordia New"/>
      <family val="2"/>
    </font>
    <font>
      <sz val="10"/>
      <color indexed="8"/>
      <name val="CordiaUPC"/>
      <family val="2"/>
    </font>
    <font>
      <sz val="10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sz val="12"/>
      <color indexed="10"/>
      <name val="Cordia New"/>
      <family val="2"/>
    </font>
    <font>
      <sz val="14"/>
      <color indexed="9"/>
      <name val="Cordia New"/>
      <family val="2"/>
    </font>
    <font>
      <b/>
      <sz val="14"/>
      <color indexed="10"/>
      <name val="Cordia New"/>
      <family val="2"/>
    </font>
    <font>
      <sz val="10"/>
      <color indexed="9"/>
      <name val="Cordia New"/>
      <family val="2"/>
    </font>
    <font>
      <sz val="10"/>
      <color indexed="8"/>
      <name val="Calibri"/>
      <family val="2"/>
    </font>
    <font>
      <sz val="10"/>
      <color indexed="10"/>
      <name val="Cordia New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2"/>
      <color rgb="FFFF0000"/>
      <name val="Cordia New"/>
      <family val="2"/>
    </font>
    <font>
      <sz val="14"/>
      <color theme="0"/>
      <name val="Cordia New"/>
      <family val="2"/>
    </font>
    <font>
      <b/>
      <sz val="14"/>
      <color rgb="FFFF0000"/>
      <name val="Cordia New"/>
      <family val="2"/>
    </font>
    <font>
      <sz val="10"/>
      <color theme="0"/>
      <name val="Cordia New"/>
      <family val="2"/>
    </font>
    <font>
      <sz val="10"/>
      <color rgb="FF000000"/>
      <name val="Calibri"/>
      <family val="2"/>
    </font>
    <font>
      <sz val="10"/>
      <color rgb="FFFF0000"/>
      <name val="Cordia New"/>
      <family val="2"/>
    </font>
    <font>
      <sz val="10"/>
      <color rgb="FF000000"/>
      <name val="Cordia New"/>
      <family val="2"/>
    </font>
    <font>
      <b/>
      <sz val="10"/>
      <color theme="1"/>
      <name val="Calibri"/>
      <family val="2"/>
    </font>
    <font>
      <sz val="10"/>
      <color theme="1"/>
      <name val="Cordia New"/>
      <family val="2"/>
    </font>
    <font>
      <b/>
      <sz val="8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8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1" fillId="0" borderId="10" xfId="33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2" fillId="0" borderId="16" xfId="33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43" fontId="1" fillId="0" borderId="16" xfId="33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6" xfId="33" applyNumberFormat="1" applyFont="1" applyBorder="1" applyAlignment="1">
      <alignment horizontal="right"/>
    </xf>
    <xf numFmtId="0" fontId="0" fillId="0" borderId="17" xfId="0" applyBorder="1" applyAlignment="1">
      <alignment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left"/>
    </xf>
    <xf numFmtId="0" fontId="59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/>
    </xf>
    <xf numFmtId="0" fontId="59" fillId="0" borderId="16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/>
    </xf>
    <xf numFmtId="0" fontId="2" fillId="0" borderId="16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6" fillId="0" borderId="16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5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59" fillId="0" borderId="16" xfId="0" applyNumberFormat="1" applyFont="1" applyBorder="1" applyAlignment="1">
      <alignment/>
    </xf>
    <xf numFmtId="0" fontId="59" fillId="33" borderId="16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4" fontId="7" fillId="0" borderId="1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59" fillId="0" borderId="16" xfId="0" applyNumberFormat="1" applyFont="1" applyFill="1" applyBorder="1" applyAlignment="1">
      <alignment/>
    </xf>
    <xf numFmtId="0" fontId="60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3" fontId="60" fillId="0" borderId="16" xfId="0" applyNumberFormat="1" applyFont="1" applyFill="1" applyBorder="1" applyAlignment="1">
      <alignment horizontal="center"/>
    </xf>
    <xf numFmtId="0" fontId="61" fillId="34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4" fontId="6" fillId="0" borderId="16" xfId="0" applyNumberFormat="1" applyFont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3" fontId="2" fillId="13" borderId="16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/>
    </xf>
    <xf numFmtId="3" fontId="5" fillId="33" borderId="16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1" fillId="0" borderId="19" xfId="0" applyFont="1" applyBorder="1" applyAlignment="1">
      <alignment horizontal="left"/>
    </xf>
    <xf numFmtId="43" fontId="1" fillId="0" borderId="0" xfId="33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43" fontId="2" fillId="0" borderId="0" xfId="33" applyFont="1" applyBorder="1" applyAlignment="1">
      <alignment horizontal="center"/>
    </xf>
    <xf numFmtId="43" fontId="1" fillId="0" borderId="0" xfId="33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3" fontId="2" fillId="13" borderId="0" xfId="0" applyNumberFormat="1" applyFont="1" applyFill="1" applyBorder="1" applyAlignment="1">
      <alignment horizontal="center"/>
    </xf>
    <xf numFmtId="4" fontId="62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/>
    </xf>
    <xf numFmtId="1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11" fillId="0" borderId="16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43" fontId="11" fillId="0" borderId="16" xfId="33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199" fontId="11" fillId="0" borderId="16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2" fontId="11" fillId="0" borderId="16" xfId="33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wrapText="1"/>
    </xf>
    <xf numFmtId="193" fontId="11" fillId="0" borderId="16" xfId="33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64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>
      <alignment horizontal="center" wrapText="1"/>
    </xf>
    <xf numFmtId="191" fontId="11" fillId="0" borderId="16" xfId="0" applyNumberFormat="1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1" fontId="65" fillId="0" borderId="16" xfId="0" applyNumberFormat="1" applyFont="1" applyFill="1" applyBorder="1" applyAlignment="1">
      <alignment horizontal="center"/>
    </xf>
    <xf numFmtId="194" fontId="11" fillId="0" borderId="16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center" vertical="center"/>
    </xf>
    <xf numFmtId="199" fontId="11" fillId="0" borderId="16" xfId="0" applyNumberFormat="1" applyFont="1" applyFill="1" applyBorder="1" applyAlignment="1">
      <alignment/>
    </xf>
    <xf numFmtId="3" fontId="65" fillId="0" borderId="16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vertical="center"/>
    </xf>
    <xf numFmtId="0" fontId="66" fillId="0" borderId="16" xfId="0" applyFont="1" applyFill="1" applyBorder="1" applyAlignment="1" applyProtection="1">
      <alignment vertical="center" wrapText="1"/>
      <protection/>
    </xf>
    <xf numFmtId="187" fontId="11" fillId="0" borderId="16" xfId="33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5" fillId="0" borderId="16" xfId="0" applyFont="1" applyFill="1" applyBorder="1" applyAlignment="1" applyProtection="1">
      <alignment vertical="center" wrapText="1"/>
      <protection/>
    </xf>
    <xf numFmtId="3" fontId="65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 applyProtection="1">
      <alignment vertical="center" wrapText="1"/>
      <protection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43" fontId="12" fillId="0" borderId="13" xfId="33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7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0" fontId="12" fillId="0" borderId="17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3" fontId="12" fillId="0" borderId="10" xfId="33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1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16" xfId="0" applyFont="1" applyFill="1" applyBorder="1" applyAlignment="1">
      <alignment/>
    </xf>
    <xf numFmtId="49" fontId="65" fillId="0" borderId="16" xfId="0" applyNumberFormat="1" applyFont="1" applyFill="1" applyBorder="1" applyAlignment="1">
      <alignment/>
    </xf>
    <xf numFmtId="3" fontId="65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49" fontId="68" fillId="0" borderId="16" xfId="0" applyNumberFormat="1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49" fontId="11" fillId="0" borderId="0" xfId="0" applyNumberFormat="1" applyFont="1" applyFill="1" applyAlignment="1">
      <alignment/>
    </xf>
    <xf numFmtId="4" fontId="12" fillId="0" borderId="16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66" fillId="0" borderId="21" xfId="4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1" fillId="0" borderId="0" xfId="0" applyFont="1" applyAlignment="1">
      <alignment/>
    </xf>
    <xf numFmtId="1" fontId="12" fillId="0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4" fontId="11" fillId="0" borderId="16" xfId="0" applyNumberFormat="1" applyFont="1" applyBorder="1" applyAlignment="1">
      <alignment horizontal="center"/>
    </xf>
    <xf numFmtId="43" fontId="11" fillId="0" borderId="16" xfId="33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3" fontId="13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3" fontId="12" fillId="0" borderId="16" xfId="33" applyFont="1" applyBorder="1" applyAlignment="1">
      <alignment horizontal="center"/>
    </xf>
    <xf numFmtId="4" fontId="11" fillId="0" borderId="0" xfId="0" applyNumberFormat="1" applyFont="1" applyAlignment="1">
      <alignment/>
    </xf>
    <xf numFmtId="0" fontId="12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1" fontId="12" fillId="0" borderId="19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43" fontId="12" fillId="0" borderId="13" xfId="33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3" fontId="12" fillId="0" borderId="10" xfId="33" applyFont="1" applyFill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11" fillId="0" borderId="0" xfId="0" applyNumberFormat="1" applyFont="1" applyFill="1" applyAlignment="1">
      <alignment horizontal="center"/>
    </xf>
    <xf numFmtId="43" fontId="12" fillId="0" borderId="16" xfId="33" applyFont="1" applyFill="1" applyBorder="1" applyAlignment="1">
      <alignment horizontal="center"/>
    </xf>
    <xf numFmtId="43" fontId="12" fillId="0" borderId="0" xfId="33" applyFont="1" applyFill="1" applyBorder="1" applyAlignment="1">
      <alignment horizontal="center"/>
    </xf>
    <xf numFmtId="43" fontId="11" fillId="0" borderId="0" xfId="33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3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43" fontId="11" fillId="0" borderId="0" xfId="0" applyNumberFormat="1" applyFont="1" applyFill="1" applyAlignment="1">
      <alignment/>
    </xf>
    <xf numFmtId="0" fontId="15" fillId="0" borderId="16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3" fontId="12" fillId="0" borderId="16" xfId="33" applyFont="1" applyFill="1" applyBorder="1" applyAlignment="1">
      <alignment horizontal="center"/>
    </xf>
    <xf numFmtId="43" fontId="11" fillId="0" borderId="16" xfId="0" applyNumberFormat="1" applyFont="1" applyFill="1" applyBorder="1" applyAlignment="1">
      <alignment horizontal="center"/>
    </xf>
    <xf numFmtId="189" fontId="11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/>
    </xf>
    <xf numFmtId="1" fontId="12" fillId="0" borderId="16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43" fontId="12" fillId="0" borderId="13" xfId="33" applyFont="1" applyBorder="1" applyAlignment="1">
      <alignment horizontal="center"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3" fontId="12" fillId="0" borderId="10" xfId="33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6" xfId="33" applyNumberFormat="1" applyFont="1" applyBorder="1" applyAlignment="1">
      <alignment horizontal="center"/>
    </xf>
    <xf numFmtId="4" fontId="11" fillId="0" borderId="16" xfId="33" applyNumberFormat="1" applyFont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43" fontId="12" fillId="0" borderId="16" xfId="0" applyNumberFormat="1" applyFont="1" applyBorder="1" applyAlignment="1">
      <alignment/>
    </xf>
    <xf numFmtId="0" fontId="11" fillId="34" borderId="0" xfId="0" applyFont="1" applyFill="1" applyAlignment="1">
      <alignment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" fontId="12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2" fontId="12" fillId="0" borderId="12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43" fontId="11" fillId="0" borderId="13" xfId="33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43" fontId="11" fillId="0" borderId="10" xfId="33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16" xfId="0" applyNumberFormat="1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1">
      <selection activeCell="B1" sqref="B1"/>
    </sheetView>
  </sheetViews>
  <sheetFormatPr defaultColWidth="9.140625" defaultRowHeight="21.75"/>
  <cols>
    <col min="1" max="1" width="7.57421875" style="0" customWidth="1"/>
    <col min="2" max="3" width="27.8515625" style="0" customWidth="1"/>
    <col min="4" max="4" width="36.00390625" style="0" customWidth="1"/>
    <col min="5" max="5" width="20.8515625" style="0" customWidth="1"/>
    <col min="6" max="6" width="18.140625" style="0" customWidth="1"/>
    <col min="7" max="7" width="16.421875" style="0" customWidth="1"/>
    <col min="8" max="8" width="17.57421875" style="0" customWidth="1"/>
    <col min="9" max="9" width="17.140625" style="0" customWidth="1"/>
    <col min="10" max="10" width="15.7109375" style="0" customWidth="1"/>
    <col min="12" max="12" width="22.8515625" style="0" customWidth="1"/>
    <col min="13" max="13" width="8.8515625" style="0" customWidth="1"/>
  </cols>
  <sheetData>
    <row r="1" ht="21.75">
      <c r="G1" s="21" t="s">
        <v>582</v>
      </c>
    </row>
    <row r="2" spans="7:10" ht="21.75">
      <c r="G2" s="21" t="s">
        <v>583</v>
      </c>
      <c r="J2" s="35"/>
    </row>
    <row r="4" spans="2:10" ht="21.75">
      <c r="B4" s="32" t="s">
        <v>594</v>
      </c>
      <c r="C4" s="38" t="s">
        <v>1453</v>
      </c>
      <c r="D4" s="38" t="s">
        <v>1452</v>
      </c>
      <c r="E4" s="38" t="s">
        <v>1339</v>
      </c>
      <c r="F4" s="38" t="s">
        <v>609</v>
      </c>
      <c r="G4" s="38" t="s">
        <v>606</v>
      </c>
      <c r="H4" s="38" t="s">
        <v>605</v>
      </c>
      <c r="I4" s="38" t="s">
        <v>585</v>
      </c>
      <c r="J4" s="38" t="s">
        <v>584</v>
      </c>
    </row>
    <row r="5" spans="2:10" ht="21.75">
      <c r="B5" s="32" t="s">
        <v>1340</v>
      </c>
      <c r="C5" s="40">
        <f>C6+C9</f>
        <v>15855183.69</v>
      </c>
      <c r="D5" s="40">
        <f aca="true" t="shared" si="0" ref="D5:J5">D6+D9</f>
        <v>13858736.68</v>
      </c>
      <c r="E5" s="40">
        <f t="shared" si="0"/>
        <v>11569513.62</v>
      </c>
      <c r="F5" s="40">
        <f t="shared" si="0"/>
        <v>12208266.430000002</v>
      </c>
      <c r="G5" s="40">
        <f t="shared" si="0"/>
        <v>10538468.31992</v>
      </c>
      <c r="H5" s="40">
        <f t="shared" si="0"/>
        <v>13931608.387215946</v>
      </c>
      <c r="I5" s="40">
        <f t="shared" si="0"/>
        <v>14721683.741720377</v>
      </c>
      <c r="J5" s="40">
        <f t="shared" si="0"/>
        <v>12727482.01</v>
      </c>
    </row>
    <row r="6" spans="2:10" ht="23.25">
      <c r="B6" s="38" t="s">
        <v>589</v>
      </c>
      <c r="C6" s="40">
        <f>C7+C8</f>
        <v>15252139.69</v>
      </c>
      <c r="D6" s="40">
        <f>D7+D8</f>
        <v>13247758.33</v>
      </c>
      <c r="E6" s="84">
        <f>E7+E8</f>
        <v>10841290.12</v>
      </c>
      <c r="F6" s="40">
        <v>11519002.13</v>
      </c>
      <c r="G6" s="45">
        <v>10038496.21992</v>
      </c>
      <c r="H6" s="46">
        <v>12787006.596243802</v>
      </c>
      <c r="I6" s="39">
        <v>13974717.327634662</v>
      </c>
      <c r="J6" s="39">
        <v>11846202.51</v>
      </c>
    </row>
    <row r="7" spans="2:10" ht="21.75">
      <c r="B7" s="38" t="s">
        <v>1279</v>
      </c>
      <c r="C7" s="39">
        <v>14600539.69</v>
      </c>
      <c r="D7" s="39">
        <v>12896591.33</v>
      </c>
      <c r="E7" s="39">
        <v>10494290.12</v>
      </c>
      <c r="F7" s="64">
        <v>11169114.13</v>
      </c>
      <c r="G7" s="45"/>
      <c r="H7" s="46"/>
      <c r="I7" s="39"/>
      <c r="J7" s="39"/>
    </row>
    <row r="8" spans="2:10" ht="21.75">
      <c r="B8" s="38" t="s">
        <v>1280</v>
      </c>
      <c r="C8" s="39">
        <v>651600</v>
      </c>
      <c r="D8" s="39">
        <v>351167</v>
      </c>
      <c r="E8" s="39">
        <v>347000</v>
      </c>
      <c r="F8" s="51">
        <v>349888</v>
      </c>
      <c r="G8" s="45"/>
      <c r="H8" s="46"/>
      <c r="I8" s="39"/>
      <c r="J8" s="39"/>
    </row>
    <row r="9" spans="2:10" ht="23.25">
      <c r="B9" s="38" t="s">
        <v>590</v>
      </c>
      <c r="C9" s="40">
        <f>C10+C11</f>
        <v>603044</v>
      </c>
      <c r="D9" s="40">
        <f>D10+D11</f>
        <v>610978.35</v>
      </c>
      <c r="E9" s="84">
        <f>E10+E11</f>
        <v>728223.5</v>
      </c>
      <c r="F9" s="40">
        <v>689264.3</v>
      </c>
      <c r="G9" s="45">
        <v>499972.1</v>
      </c>
      <c r="H9" s="47">
        <v>1144601.7909721427</v>
      </c>
      <c r="I9" s="39">
        <v>746966.4140857143</v>
      </c>
      <c r="J9" s="39">
        <v>881279.5</v>
      </c>
    </row>
    <row r="10" spans="2:10" ht="21.75">
      <c r="B10" s="38" t="s">
        <v>1279</v>
      </c>
      <c r="C10" s="39">
        <v>495644</v>
      </c>
      <c r="D10" s="39">
        <v>335505.63</v>
      </c>
      <c r="E10" s="39">
        <v>455641</v>
      </c>
      <c r="F10" s="64">
        <v>576639.3</v>
      </c>
      <c r="G10" s="45"/>
      <c r="H10" s="47"/>
      <c r="I10" s="39"/>
      <c r="J10" s="39"/>
    </row>
    <row r="11" spans="2:10" ht="21.75">
      <c r="B11" s="38" t="s">
        <v>1280</v>
      </c>
      <c r="C11" s="39">
        <v>107400</v>
      </c>
      <c r="D11" s="39">
        <v>275472.72</v>
      </c>
      <c r="E11" s="39">
        <v>272582.5</v>
      </c>
      <c r="F11" s="51">
        <v>112625</v>
      </c>
      <c r="G11" s="45"/>
      <c r="H11" s="47"/>
      <c r="I11" s="39"/>
      <c r="J11" s="39"/>
    </row>
    <row r="12" spans="2:10" ht="21.75">
      <c r="B12" s="38" t="s">
        <v>588</v>
      </c>
      <c r="C12" s="40">
        <v>740338</v>
      </c>
      <c r="D12" s="40">
        <v>422854.5911111111</v>
      </c>
      <c r="E12" s="39">
        <v>460313.775</v>
      </c>
      <c r="F12" s="40">
        <v>421687.25</v>
      </c>
      <c r="G12" s="45">
        <v>355688.568</v>
      </c>
      <c r="H12" s="46">
        <v>590254.5572120833</v>
      </c>
      <c r="I12" s="39">
        <v>577307.0585833334</v>
      </c>
      <c r="J12" s="39">
        <v>499349.08705806476</v>
      </c>
    </row>
    <row r="13" spans="2:10" ht="21.75">
      <c r="B13" s="38" t="s">
        <v>587</v>
      </c>
      <c r="C13" s="40">
        <v>3047768.02</v>
      </c>
      <c r="D13" s="40">
        <v>2517762.0319333337</v>
      </c>
      <c r="E13" s="39">
        <v>2321694.8416666663</v>
      </c>
      <c r="F13" s="40">
        <v>3570907.03</v>
      </c>
      <c r="G13" s="45">
        <v>2593344.0737799997</v>
      </c>
      <c r="H13" s="46">
        <v>2592563.7996143005</v>
      </c>
      <c r="I13" s="39">
        <v>3499780.225766285</v>
      </c>
      <c r="J13" s="39">
        <v>3088291.556769918</v>
      </c>
    </row>
    <row r="14" spans="2:10" ht="21.75">
      <c r="B14" s="38" t="s">
        <v>591</v>
      </c>
      <c r="C14" s="40">
        <v>5000</v>
      </c>
      <c r="D14" s="40">
        <v>24315</v>
      </c>
      <c r="E14" s="39">
        <v>42850</v>
      </c>
      <c r="F14" s="65">
        <v>33970</v>
      </c>
      <c r="G14" s="45">
        <v>18516</v>
      </c>
      <c r="H14" s="46">
        <v>27374.249999999996</v>
      </c>
      <c r="I14" s="39">
        <v>19810</v>
      </c>
      <c r="J14" s="39">
        <v>26230</v>
      </c>
    </row>
    <row r="15" spans="2:10" ht="21.75">
      <c r="B15" s="38" t="s">
        <v>592</v>
      </c>
      <c r="C15" s="40">
        <v>342520</v>
      </c>
      <c r="D15" s="40">
        <v>379861.8222222222</v>
      </c>
      <c r="E15" s="39">
        <v>591264</v>
      </c>
      <c r="F15" s="65">
        <v>312600</v>
      </c>
      <c r="G15" s="45">
        <v>325040</v>
      </c>
      <c r="H15" s="46">
        <v>414679.41855749994</v>
      </c>
      <c r="I15" s="39">
        <v>360228.9354</v>
      </c>
      <c r="J15" s="39">
        <v>341410.342</v>
      </c>
    </row>
    <row r="16" spans="2:10" ht="23.25">
      <c r="B16" s="38" t="s">
        <v>593</v>
      </c>
      <c r="C16" s="84">
        <f>C5+C12+C13+C14+C15</f>
        <v>19990809.71</v>
      </c>
      <c r="D16" s="84">
        <f>D5+D12+D13+D14+D15</f>
        <v>17203530.125266667</v>
      </c>
      <c r="E16" s="84">
        <f>E6+E9+E12+E13+E14+E15</f>
        <v>14985636.236666666</v>
      </c>
      <c r="F16" s="40">
        <f>F15+F14+F13+F12+F9+F6</f>
        <v>16547430.71</v>
      </c>
      <c r="G16" s="40">
        <f>SUM(G6:G15)</f>
        <v>13831056.9617</v>
      </c>
      <c r="H16" s="40">
        <f>SUM(H6:H15)</f>
        <v>17556480.412599828</v>
      </c>
      <c r="I16" s="40">
        <f>SUM(I6:I15)</f>
        <v>19178809.961469997</v>
      </c>
      <c r="J16" s="40">
        <f>SUM(J6:J15)</f>
        <v>16682762.995827984</v>
      </c>
    </row>
    <row r="17" spans="2:5" ht="21.75">
      <c r="B17" s="21"/>
      <c r="C17" s="21"/>
      <c r="D17" s="21"/>
      <c r="E17" s="85"/>
    </row>
    <row r="18" spans="2:5" ht="21.75">
      <c r="B18" s="21"/>
      <c r="C18" s="21"/>
      <c r="D18" s="21"/>
      <c r="E18" s="85"/>
    </row>
    <row r="19" spans="2:10" ht="21.75">
      <c r="B19" s="32" t="s">
        <v>595</v>
      </c>
      <c r="C19" s="32"/>
      <c r="D19" s="32" t="s">
        <v>1454</v>
      </c>
      <c r="E19" s="32" t="s">
        <v>1339</v>
      </c>
      <c r="F19" s="32" t="s">
        <v>609</v>
      </c>
      <c r="G19" s="38" t="s">
        <v>607</v>
      </c>
      <c r="H19" s="38" t="s">
        <v>585</v>
      </c>
      <c r="I19" s="38" t="s">
        <v>584</v>
      </c>
      <c r="J19" s="38" t="s">
        <v>586</v>
      </c>
    </row>
    <row r="20" spans="2:10" ht="21.75">
      <c r="B20" s="32" t="s">
        <v>1340</v>
      </c>
      <c r="C20" s="32"/>
      <c r="D20" s="93">
        <f aca="true" t="shared" si="1" ref="D20:J20">D21+D22</f>
        <v>17122380.024</v>
      </c>
      <c r="E20" s="93">
        <f t="shared" si="1"/>
        <v>15802150.11</v>
      </c>
      <c r="F20" s="93">
        <f t="shared" si="1"/>
        <v>12874618.530000001</v>
      </c>
      <c r="G20" s="93">
        <f t="shared" si="1"/>
        <v>11640480.81</v>
      </c>
      <c r="H20" s="93">
        <f t="shared" si="1"/>
        <v>13305458.649999999</v>
      </c>
      <c r="I20" s="93">
        <f t="shared" si="1"/>
        <v>15013175.47</v>
      </c>
      <c r="J20" s="93">
        <f t="shared" si="1"/>
        <v>14689535.649999999</v>
      </c>
    </row>
    <row r="21" spans="2:10" ht="21.75">
      <c r="B21" s="38" t="s">
        <v>590</v>
      </c>
      <c r="C21" s="38"/>
      <c r="D21" s="39">
        <f>(482033.19+10745.3+170490)/10*12</f>
        <v>795922.1880000001</v>
      </c>
      <c r="E21" s="39">
        <f>515532.2+129961.57+164095+4000</f>
        <v>813588.77</v>
      </c>
      <c r="F21" s="40">
        <f>436087.8+118221+128684</f>
        <v>682992.8</v>
      </c>
      <c r="G21" s="39">
        <v>835219.52</v>
      </c>
      <c r="H21" s="39">
        <v>1234182.2199999997</v>
      </c>
      <c r="I21" s="39">
        <v>1153313.42</v>
      </c>
      <c r="J21" s="39">
        <v>1178678.53</v>
      </c>
    </row>
    <row r="22" spans="2:10" ht="21.75">
      <c r="B22" s="38" t="s">
        <v>589</v>
      </c>
      <c r="C22" s="38"/>
      <c r="D22" s="39">
        <f>(12691426.27+607585.26+306370)/10*12</f>
        <v>16326457.836</v>
      </c>
      <c r="E22" s="39">
        <f>14270775.72+379905.62+337880</f>
        <v>14988561.34</v>
      </c>
      <c r="F22" s="38">
        <f>11866719.73+54874+270032</f>
        <v>12191625.73</v>
      </c>
      <c r="G22" s="39">
        <v>10805261.290000001</v>
      </c>
      <c r="H22" s="39">
        <v>12071276.429999998</v>
      </c>
      <c r="I22" s="39">
        <v>13859862.05</v>
      </c>
      <c r="J22" s="39">
        <v>13510857.12</v>
      </c>
    </row>
    <row r="23" spans="2:10" ht="21.75">
      <c r="B23" s="38" t="s">
        <v>588</v>
      </c>
      <c r="C23" s="38"/>
      <c r="D23" s="39">
        <f>(329.45+751.42+23268.08+368515.66)/10*12</f>
        <v>471437.53199999995</v>
      </c>
      <c r="E23" s="39">
        <f>425787.47+28361.04+760</f>
        <v>454908.50999999995</v>
      </c>
      <c r="F23" s="38">
        <f>320+76+37644.94+422947.86</f>
        <v>460988.8</v>
      </c>
      <c r="G23" s="39">
        <v>335331.16000000003</v>
      </c>
      <c r="H23" s="39">
        <v>467925.34</v>
      </c>
      <c r="I23" s="39">
        <v>711604.87</v>
      </c>
      <c r="J23" s="39">
        <v>595363.54</v>
      </c>
    </row>
    <row r="24" spans="2:10" ht="21.75">
      <c r="B24" s="38" t="s">
        <v>587</v>
      </c>
      <c r="C24" s="38"/>
      <c r="D24" s="39">
        <f>(168+8228.13+314241.86+1964508.48)/10*12</f>
        <v>2744575.7639999995</v>
      </c>
      <c r="E24" s="39">
        <f>102.29+6324.74+353194.15+2246079.7</f>
        <v>2605700.8800000004</v>
      </c>
      <c r="F24" s="38">
        <f>2168547.53+351595.59+432+5700+1458.7</f>
        <v>2527733.82</v>
      </c>
      <c r="G24" s="39">
        <v>2487784.3000000003</v>
      </c>
      <c r="H24" s="39">
        <v>3213951.14</v>
      </c>
      <c r="I24" s="39">
        <v>3236945.9600000004</v>
      </c>
      <c r="J24" s="39">
        <v>2981954.9999999995</v>
      </c>
    </row>
    <row r="25" spans="2:10" ht="21.75">
      <c r="B25" s="38" t="s">
        <v>591</v>
      </c>
      <c r="C25" s="38"/>
      <c r="D25" s="39">
        <f>6550/10*12</f>
        <v>7860</v>
      </c>
      <c r="E25" s="39">
        <v>12590</v>
      </c>
      <c r="F25" s="40">
        <v>14240</v>
      </c>
      <c r="G25" s="39">
        <v>239490.33000000002</v>
      </c>
      <c r="H25" s="39">
        <v>339681.44</v>
      </c>
      <c r="I25" s="39">
        <v>349782.65</v>
      </c>
      <c r="J25" s="39">
        <v>694176.1</v>
      </c>
    </row>
    <row r="26" spans="2:10" ht="21.75">
      <c r="B26" s="38" t="s">
        <v>592</v>
      </c>
      <c r="C26" s="38"/>
      <c r="D26" s="39">
        <f>414958.83/10*12</f>
        <v>497950.596</v>
      </c>
      <c r="E26" s="39">
        <v>464056.63</v>
      </c>
      <c r="F26" s="38">
        <v>272</v>
      </c>
      <c r="G26" s="39">
        <v>195811</v>
      </c>
      <c r="H26" s="39">
        <v>330532.52999999997</v>
      </c>
      <c r="I26" s="39">
        <v>438893.02</v>
      </c>
      <c r="J26" s="39">
        <v>417048.8299999999</v>
      </c>
    </row>
    <row r="27" spans="2:10" ht="21.75">
      <c r="B27" s="38" t="s">
        <v>593</v>
      </c>
      <c r="C27" s="38"/>
      <c r="D27" s="40">
        <f aca="true" t="shared" si="2" ref="D27:J27">SUM(D21:D26)</f>
        <v>20844203.916</v>
      </c>
      <c r="E27" s="40">
        <f t="shared" si="2"/>
        <v>19339406.13</v>
      </c>
      <c r="F27" s="40">
        <f t="shared" si="2"/>
        <v>15877853.150000002</v>
      </c>
      <c r="G27" s="40">
        <f t="shared" si="2"/>
        <v>14898897.600000001</v>
      </c>
      <c r="H27" s="40">
        <f t="shared" si="2"/>
        <v>17657549.1</v>
      </c>
      <c r="I27" s="40">
        <f t="shared" si="2"/>
        <v>19750401.97</v>
      </c>
      <c r="J27" s="40">
        <f t="shared" si="2"/>
        <v>19378079.119999997</v>
      </c>
    </row>
    <row r="28" spans="2:10" ht="21.75">
      <c r="B28" s="41"/>
      <c r="C28" s="41" t="s">
        <v>1456</v>
      </c>
      <c r="D28" s="105">
        <v>4103543.8685333338</v>
      </c>
      <c r="E28" s="42"/>
      <c r="F28" s="42"/>
      <c r="G28" s="42"/>
      <c r="H28" s="42"/>
      <c r="I28" s="42"/>
      <c r="J28" s="42"/>
    </row>
    <row r="30" spans="2:10" ht="21.75">
      <c r="B30" s="32" t="s">
        <v>596</v>
      </c>
      <c r="C30" s="32"/>
      <c r="D30" s="32" t="s">
        <v>1454</v>
      </c>
      <c r="E30" s="32" t="s">
        <v>1339</v>
      </c>
      <c r="F30" s="32" t="s">
        <v>609</v>
      </c>
      <c r="G30" s="38" t="s">
        <v>607</v>
      </c>
      <c r="H30" s="38" t="s">
        <v>585</v>
      </c>
      <c r="I30" s="38" t="s">
        <v>584</v>
      </c>
      <c r="J30" s="38" t="s">
        <v>586</v>
      </c>
    </row>
    <row r="31" spans="2:10" ht="21.75">
      <c r="B31" s="32" t="s">
        <v>1340</v>
      </c>
      <c r="C31" s="32"/>
      <c r="D31" s="93">
        <f>D32+D33</f>
        <v>14059268.831999999</v>
      </c>
      <c r="E31" s="93">
        <f aca="true" t="shared" si="3" ref="E31:J31">E32+E33</f>
        <v>12828757.17</v>
      </c>
      <c r="F31" s="93">
        <f t="shared" si="3"/>
        <v>13353168.26</v>
      </c>
      <c r="G31" s="93">
        <f t="shared" si="3"/>
        <v>10299366.66</v>
      </c>
      <c r="H31" s="93">
        <f t="shared" si="3"/>
        <v>12557342.110000001</v>
      </c>
      <c r="I31" s="93">
        <f t="shared" si="3"/>
        <v>12022126.74</v>
      </c>
      <c r="J31" s="93">
        <f t="shared" si="3"/>
        <v>12580809.250000002</v>
      </c>
    </row>
    <row r="32" spans="2:10" ht="21.75">
      <c r="B32" s="38" t="s">
        <v>590</v>
      </c>
      <c r="C32" s="38"/>
      <c r="D32" s="40">
        <f>(393998.7-6400+178080-124800)/10*12</f>
        <v>529054.44</v>
      </c>
      <c r="E32" s="40">
        <f>716566.77-231969.4+195400+4000</f>
        <v>683997.37</v>
      </c>
      <c r="F32" s="40">
        <f>413086+135214</f>
        <v>548300</v>
      </c>
      <c r="G32" s="39">
        <v>774231.66</v>
      </c>
      <c r="H32" s="39">
        <v>866854.5700000001</v>
      </c>
      <c r="I32" s="39">
        <v>852793.3</v>
      </c>
      <c r="J32" s="39">
        <v>1194610</v>
      </c>
    </row>
    <row r="33" spans="2:10" ht="21.75">
      <c r="B33" s="38" t="s">
        <v>589</v>
      </c>
      <c r="C33" s="38"/>
      <c r="D33" s="40">
        <f>(13941946.16-31099.82-2925667.68+333080-43080)/10*12</f>
        <v>13530214.391999999</v>
      </c>
      <c r="E33" s="40">
        <f>14856657.25-10977.95-3067629.5+366710</f>
        <v>12144759.8</v>
      </c>
      <c r="F33" s="40">
        <f>12507913.26+296955</f>
        <v>12804868.26</v>
      </c>
      <c r="G33" s="39">
        <v>9525135</v>
      </c>
      <c r="H33" s="39">
        <v>11690487.540000001</v>
      </c>
      <c r="I33" s="39">
        <v>11169333.44</v>
      </c>
      <c r="J33" s="39">
        <v>11386199.250000002</v>
      </c>
    </row>
    <row r="34" spans="2:10" ht="21.75">
      <c r="B34" s="38" t="s">
        <v>588</v>
      </c>
      <c r="C34" s="38"/>
      <c r="D34" s="40">
        <f>(376940.12-26536-60728)/10*12</f>
        <v>347611.34400000004</v>
      </c>
      <c r="E34" s="40">
        <f>516667.94-25680-68778.6</f>
        <v>422209.33999999997</v>
      </c>
      <c r="F34" s="40">
        <v>346216.04</v>
      </c>
      <c r="G34" s="39">
        <v>359680.44</v>
      </c>
      <c r="H34" s="39">
        <v>370124.8</v>
      </c>
      <c r="I34" s="39">
        <v>426511.98000000004</v>
      </c>
      <c r="J34" s="39">
        <v>487032.29000000004</v>
      </c>
    </row>
    <row r="35" spans="2:10" ht="21.75">
      <c r="B35" s="38" t="s">
        <v>587</v>
      </c>
      <c r="C35" s="38"/>
      <c r="D35" s="40">
        <f>(2456429.74-1637.1)/10*12</f>
        <v>2945751.1680000005</v>
      </c>
      <c r="E35" s="40">
        <f>2449620.04-1964.52-348</f>
        <v>2447307.52</v>
      </c>
      <c r="F35" s="40">
        <v>2740059.4516</v>
      </c>
      <c r="G35" s="39">
        <v>2316200.37</v>
      </c>
      <c r="H35" s="39">
        <v>3218008.5799999996</v>
      </c>
      <c r="I35" s="39">
        <v>3134631.75</v>
      </c>
      <c r="J35" s="39">
        <v>2794142.8</v>
      </c>
    </row>
    <row r="36" spans="2:10" ht="21.75">
      <c r="B36" s="38" t="s">
        <v>591</v>
      </c>
      <c r="C36" s="38"/>
      <c r="D36" s="40">
        <f>29850/10*12</f>
        <v>35820</v>
      </c>
      <c r="E36" s="40">
        <v>10000</v>
      </c>
      <c r="F36" s="40">
        <v>11830</v>
      </c>
      <c r="G36" s="39">
        <v>182974.35</v>
      </c>
      <c r="H36" s="39">
        <v>278593.15</v>
      </c>
      <c r="I36" s="39">
        <v>267828.6</v>
      </c>
      <c r="J36" s="39">
        <v>323850.4</v>
      </c>
    </row>
    <row r="37" spans="2:10" ht="21.75">
      <c r="B37" s="38" t="s">
        <v>592</v>
      </c>
      <c r="C37" s="38"/>
      <c r="D37" s="40">
        <f>269500/10*12</f>
        <v>323400</v>
      </c>
      <c r="E37" s="40">
        <f>514080-24500</f>
        <v>489580</v>
      </c>
      <c r="F37" s="40">
        <v>3400</v>
      </c>
      <c r="G37" s="39">
        <v>234900</v>
      </c>
      <c r="H37" s="39">
        <v>176700</v>
      </c>
      <c r="I37" s="39">
        <v>116900</v>
      </c>
      <c r="J37" s="39">
        <v>79894</v>
      </c>
    </row>
    <row r="38" spans="2:10" ht="21.75">
      <c r="B38" s="38" t="s">
        <v>593</v>
      </c>
      <c r="C38" s="38"/>
      <c r="D38" s="40">
        <f aca="true" t="shared" si="4" ref="D38:J38">SUM(D32:D37)</f>
        <v>17711851.344</v>
      </c>
      <c r="E38" s="40">
        <f t="shared" si="4"/>
        <v>16197854.03</v>
      </c>
      <c r="F38" s="40">
        <f t="shared" si="4"/>
        <v>16454673.7516</v>
      </c>
      <c r="G38" s="40">
        <f t="shared" si="4"/>
        <v>13393121.819999998</v>
      </c>
      <c r="H38" s="40">
        <f t="shared" si="4"/>
        <v>16600768.640000002</v>
      </c>
      <c r="I38" s="40">
        <f t="shared" si="4"/>
        <v>15967999.07</v>
      </c>
      <c r="J38" s="40">
        <f t="shared" si="4"/>
        <v>16265728.740000004</v>
      </c>
    </row>
    <row r="39" spans="2:10" ht="21.75">
      <c r="B39" s="41"/>
      <c r="C39" s="41" t="s">
        <v>1455</v>
      </c>
      <c r="D39" s="123">
        <f>2987627.68+31099.82</f>
        <v>3018727.5</v>
      </c>
      <c r="E39" s="41"/>
      <c r="F39" s="41"/>
      <c r="G39" s="42"/>
      <c r="H39" s="42"/>
      <c r="I39" s="42"/>
      <c r="J39" s="42"/>
    </row>
    <row r="41" spans="2:10" ht="21.75">
      <c r="B41" s="32" t="s">
        <v>597</v>
      </c>
      <c r="C41" s="32"/>
      <c r="D41" s="32"/>
      <c r="E41" s="32"/>
      <c r="F41" s="32"/>
      <c r="G41" s="38" t="s">
        <v>607</v>
      </c>
      <c r="H41" s="38" t="s">
        <v>585</v>
      </c>
      <c r="I41" s="38" t="s">
        <v>584</v>
      </c>
      <c r="J41" s="38" t="s">
        <v>586</v>
      </c>
    </row>
    <row r="42" spans="2:10" ht="21">
      <c r="B42" s="38" t="s">
        <v>590</v>
      </c>
      <c r="C42" s="38"/>
      <c r="D42" s="38"/>
      <c r="E42" s="38"/>
      <c r="F42" s="38"/>
      <c r="G42" s="39">
        <v>942595.31</v>
      </c>
      <c r="H42" s="39">
        <v>1164170.57</v>
      </c>
      <c r="I42" s="39">
        <v>1038430</v>
      </c>
      <c r="J42" s="39">
        <v>1284514.68</v>
      </c>
    </row>
    <row r="43" spans="2:10" ht="21">
      <c r="B43" s="38" t="s">
        <v>589</v>
      </c>
      <c r="C43" s="38"/>
      <c r="D43" s="38"/>
      <c r="E43" s="38"/>
      <c r="F43" s="38"/>
      <c r="G43" s="39">
        <v>10962556.92</v>
      </c>
      <c r="H43" s="39">
        <v>12741171.790000001</v>
      </c>
      <c r="I43" s="39">
        <v>13019111.54</v>
      </c>
      <c r="J43" s="39">
        <v>13349789.670000002</v>
      </c>
    </row>
    <row r="44" spans="2:10" ht="21">
      <c r="B44" s="38" t="s">
        <v>588</v>
      </c>
      <c r="C44" s="38"/>
      <c r="D44" s="38"/>
      <c r="E44" s="38"/>
      <c r="F44" s="38"/>
      <c r="G44" s="39">
        <v>410819.64</v>
      </c>
      <c r="H44" s="39">
        <v>378917.63</v>
      </c>
      <c r="I44" s="39">
        <v>492190.45000000007</v>
      </c>
      <c r="J44" s="39">
        <v>814795.96</v>
      </c>
    </row>
    <row r="45" spans="2:10" ht="21">
      <c r="B45" s="38" t="s">
        <v>587</v>
      </c>
      <c r="C45" s="38"/>
      <c r="D45" s="38"/>
      <c r="E45" s="38"/>
      <c r="F45" s="38"/>
      <c r="G45" s="39">
        <v>2355377.97</v>
      </c>
      <c r="H45" s="39">
        <v>3248623.7299999995</v>
      </c>
      <c r="I45" s="39">
        <v>3207333.27</v>
      </c>
      <c r="J45" s="39">
        <v>3049604.8099999996</v>
      </c>
    </row>
    <row r="46" spans="2:10" ht="21">
      <c r="B46" s="38" t="s">
        <v>591</v>
      </c>
      <c r="C46" s="38"/>
      <c r="D46" s="38"/>
      <c r="E46" s="38"/>
      <c r="F46" s="38"/>
      <c r="G46" s="39">
        <v>211290.31</v>
      </c>
      <c r="H46" s="39">
        <v>369208.65</v>
      </c>
      <c r="I46" s="39">
        <v>318450.8</v>
      </c>
      <c r="J46" s="39">
        <v>480077.22000000003</v>
      </c>
    </row>
    <row r="47" spans="2:10" ht="21">
      <c r="B47" s="38" t="s">
        <v>592</v>
      </c>
      <c r="C47" s="38"/>
      <c r="D47" s="38"/>
      <c r="E47" s="38"/>
      <c r="F47" s="38"/>
      <c r="G47" s="39">
        <v>286900</v>
      </c>
      <c r="H47" s="39">
        <v>311700</v>
      </c>
      <c r="I47" s="39">
        <v>256061.68</v>
      </c>
      <c r="J47" s="39">
        <v>395619</v>
      </c>
    </row>
    <row r="48" spans="2:10" ht="21">
      <c r="B48" s="38" t="s">
        <v>593</v>
      </c>
      <c r="C48" s="38"/>
      <c r="D48" s="38"/>
      <c r="E48" s="38"/>
      <c r="F48" s="38"/>
      <c r="G48" s="40">
        <f>SUM(G42:G47)</f>
        <v>15169540.150000002</v>
      </c>
      <c r="H48" s="40">
        <f>SUM(H42:H47)</f>
        <v>18213792.37</v>
      </c>
      <c r="I48" s="40">
        <f>SUM(I42:I47)</f>
        <v>18331577.74</v>
      </c>
      <c r="J48" s="40">
        <f>SUM(J42:J47)</f>
        <v>19374401.34</v>
      </c>
    </row>
    <row r="50" spans="2:10" ht="21">
      <c r="B50" s="41"/>
      <c r="C50" s="41"/>
      <c r="D50" s="41"/>
      <c r="E50" s="41"/>
      <c r="F50" s="41"/>
      <c r="G50" s="42"/>
      <c r="H50" s="42"/>
      <c r="I50" s="42"/>
      <c r="J50" s="42"/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7"/>
  <sheetViews>
    <sheetView view="pageLayout" zoomScaleNormal="130" workbookViewId="0" topLeftCell="E1">
      <selection activeCell="Z452" sqref="A1:Z452"/>
    </sheetView>
  </sheetViews>
  <sheetFormatPr defaultColWidth="9.140625" defaultRowHeight="21.75"/>
  <cols>
    <col min="1" max="1" width="6.57421875" style="149" hidden="1" customWidth="1"/>
    <col min="2" max="2" width="4.7109375" style="182" customWidth="1"/>
    <col min="3" max="3" width="9.00390625" style="149" hidden="1" customWidth="1"/>
    <col min="4" max="4" width="26.8515625" style="226" hidden="1" customWidth="1"/>
    <col min="5" max="5" width="31.57421875" style="149" customWidth="1"/>
    <col min="6" max="6" width="5.8515625" style="149" customWidth="1"/>
    <col min="7" max="7" width="8.7109375" style="149" customWidth="1"/>
    <col min="8" max="8" width="5.140625" style="182" customWidth="1"/>
    <col min="9" max="10" width="5.8515625" style="182" customWidth="1"/>
    <col min="11" max="11" width="5.57421875" style="182" customWidth="1"/>
    <col min="12" max="12" width="5.421875" style="182" customWidth="1"/>
    <col min="13" max="13" width="8.140625" style="181" customWidth="1"/>
    <col min="14" max="14" width="5.28125" style="182" customWidth="1"/>
    <col min="15" max="15" width="9.00390625" style="181" customWidth="1"/>
    <col min="16" max="16" width="8.421875" style="182" customWidth="1"/>
    <col min="17" max="17" width="10.140625" style="229" customWidth="1"/>
    <col min="18" max="18" width="5.8515625" style="182" customWidth="1"/>
    <col min="19" max="19" width="8.57421875" style="182" customWidth="1"/>
    <col min="20" max="20" width="5.7109375" style="182" customWidth="1"/>
    <col min="21" max="21" width="8.8515625" style="182" customWidth="1"/>
    <col min="22" max="22" width="6.421875" style="182" customWidth="1"/>
    <col min="23" max="23" width="9.8515625" style="182" customWidth="1"/>
    <col min="24" max="24" width="6.7109375" style="182" customWidth="1"/>
    <col min="25" max="25" width="8.7109375" style="182" customWidth="1"/>
    <col min="26" max="27" width="6.421875" style="149" customWidth="1"/>
    <col min="28" max="28" width="7.7109375" style="149" customWidth="1"/>
    <col min="29" max="29" width="8.00390625" style="149" customWidth="1"/>
    <col min="30" max="30" width="19.57421875" style="149" customWidth="1"/>
    <col min="31" max="31" width="9.421875" style="148" customWidth="1"/>
    <col min="32" max="32" width="10.421875" style="148" customWidth="1"/>
    <col min="33" max="34" width="9.421875" style="149" customWidth="1"/>
    <col min="35" max="35" width="6.8515625" style="150" customWidth="1"/>
    <col min="36" max="36" width="16.00390625" style="206" customWidth="1"/>
    <col min="37" max="16384" width="8.8515625" style="149" customWidth="1"/>
  </cols>
  <sheetData>
    <row r="1" spans="1:38" ht="15">
      <c r="A1" s="130" t="s">
        <v>1199</v>
      </c>
      <c r="B1" s="130" t="s">
        <v>2</v>
      </c>
      <c r="C1" s="130" t="s">
        <v>1200</v>
      </c>
      <c r="D1" s="198" t="s">
        <v>1201</v>
      </c>
      <c r="E1" s="134" t="s">
        <v>1285</v>
      </c>
      <c r="F1" s="134" t="s">
        <v>1295</v>
      </c>
      <c r="G1" s="134" t="s">
        <v>1202</v>
      </c>
      <c r="H1" s="130" t="s">
        <v>1579</v>
      </c>
      <c r="I1" s="130" t="s">
        <v>1203</v>
      </c>
      <c r="J1" s="199"/>
      <c r="K1" s="131" t="s">
        <v>1205</v>
      </c>
      <c r="L1" s="132"/>
      <c r="M1" s="133" t="s">
        <v>0</v>
      </c>
      <c r="N1" s="134" t="s">
        <v>1214</v>
      </c>
      <c r="O1" s="133" t="s">
        <v>0</v>
      </c>
      <c r="P1" s="130" t="s">
        <v>1390</v>
      </c>
      <c r="Q1" s="200" t="s">
        <v>1206</v>
      </c>
      <c r="R1" s="201" t="s">
        <v>1289</v>
      </c>
      <c r="S1" s="132"/>
      <c r="T1" s="201" t="s">
        <v>1290</v>
      </c>
      <c r="U1" s="202"/>
      <c r="V1" s="201" t="s">
        <v>1291</v>
      </c>
      <c r="W1" s="132"/>
      <c r="X1" s="201" t="s">
        <v>1292</v>
      </c>
      <c r="Y1" s="202"/>
      <c r="Z1" s="203" t="s">
        <v>608</v>
      </c>
      <c r="AA1" s="204"/>
      <c r="AB1" s="204"/>
      <c r="AC1" s="149" t="s">
        <v>1318</v>
      </c>
      <c r="AD1" s="149" t="s">
        <v>1389</v>
      </c>
      <c r="AE1" s="205" t="s">
        <v>3</v>
      </c>
      <c r="AF1" s="205" t="s">
        <v>1349</v>
      </c>
      <c r="AG1" s="149" t="s">
        <v>1297</v>
      </c>
      <c r="AH1" s="149" t="s">
        <v>6</v>
      </c>
      <c r="AI1" s="150" t="s">
        <v>1307</v>
      </c>
      <c r="AJ1" s="206" t="s">
        <v>1303</v>
      </c>
      <c r="AK1" s="149" t="s">
        <v>4</v>
      </c>
      <c r="AL1" s="149" t="s">
        <v>1304</v>
      </c>
    </row>
    <row r="2" spans="1:35" ht="15">
      <c r="A2" s="135"/>
      <c r="B2" s="139"/>
      <c r="C2" s="207"/>
      <c r="D2" s="208"/>
      <c r="E2" s="136"/>
      <c r="F2" s="136" t="s">
        <v>1294</v>
      </c>
      <c r="G2" s="136"/>
      <c r="H2" s="139" t="s">
        <v>1204</v>
      </c>
      <c r="I2" s="136" t="s">
        <v>1204</v>
      </c>
      <c r="J2" s="136">
        <v>2562</v>
      </c>
      <c r="K2" s="136">
        <v>2563</v>
      </c>
      <c r="L2" s="137">
        <v>2564</v>
      </c>
      <c r="M2" s="138" t="s">
        <v>1537</v>
      </c>
      <c r="N2" s="136" t="s">
        <v>4</v>
      </c>
      <c r="O2" s="138" t="s">
        <v>1538</v>
      </c>
      <c r="P2" s="139" t="s">
        <v>1286</v>
      </c>
      <c r="Q2" s="209" t="s">
        <v>1391</v>
      </c>
      <c r="R2" s="210" t="s">
        <v>5</v>
      </c>
      <c r="S2" s="139" t="s">
        <v>1208</v>
      </c>
      <c r="T2" s="139" t="s">
        <v>5</v>
      </c>
      <c r="U2" s="211" t="s">
        <v>1208</v>
      </c>
      <c r="V2" s="210" t="s">
        <v>5</v>
      </c>
      <c r="W2" s="139" t="s">
        <v>1208</v>
      </c>
      <c r="X2" s="139" t="s">
        <v>5</v>
      </c>
      <c r="Y2" s="211" t="s">
        <v>1208</v>
      </c>
      <c r="Z2" s="207"/>
      <c r="AA2" s="197"/>
      <c r="AB2" s="197"/>
      <c r="AG2" s="149" t="s">
        <v>1494</v>
      </c>
      <c r="AH2" s="149" t="s">
        <v>1207</v>
      </c>
      <c r="AI2" s="150" t="s">
        <v>1308</v>
      </c>
    </row>
    <row r="3" spans="1:38" ht="15">
      <c r="A3" s="140">
        <v>10949</v>
      </c>
      <c r="B3" s="140">
        <v>1</v>
      </c>
      <c r="C3" s="212">
        <v>309279</v>
      </c>
      <c r="D3" s="147" t="s">
        <v>610</v>
      </c>
      <c r="E3" s="191" t="s">
        <v>8</v>
      </c>
      <c r="F3" s="153">
        <v>1</v>
      </c>
      <c r="G3" s="154" t="s">
        <v>1245</v>
      </c>
      <c r="H3" s="137">
        <v>100</v>
      </c>
      <c r="I3" s="137" t="s">
        <v>376</v>
      </c>
      <c r="J3" s="143">
        <v>0</v>
      </c>
      <c r="K3" s="142">
        <v>0</v>
      </c>
      <c r="L3" s="142">
        <v>0</v>
      </c>
      <c r="M3" s="143">
        <v>0</v>
      </c>
      <c r="N3" s="144">
        <v>0</v>
      </c>
      <c r="O3" s="143">
        <f aca="true" t="shared" si="0" ref="O3:O66">M3-N3</f>
        <v>0</v>
      </c>
      <c r="P3" s="140">
        <v>184</v>
      </c>
      <c r="Q3" s="159">
        <f aca="true" t="shared" si="1" ref="Q3:Q69">P3*O3</f>
        <v>0</v>
      </c>
      <c r="R3" s="137">
        <v>0</v>
      </c>
      <c r="S3" s="151">
        <f aca="true" t="shared" si="2" ref="S3:S69">R3*P3</f>
        <v>0</v>
      </c>
      <c r="T3" s="142">
        <v>0</v>
      </c>
      <c r="U3" s="151">
        <f aca="true" t="shared" si="3" ref="U3:U69">T3*P3</f>
        <v>0</v>
      </c>
      <c r="V3" s="140">
        <v>0</v>
      </c>
      <c r="W3" s="151">
        <f aca="true" t="shared" si="4" ref="W3:W69">V3*P3</f>
        <v>0</v>
      </c>
      <c r="X3" s="142">
        <v>0</v>
      </c>
      <c r="Y3" s="151">
        <f aca="true" t="shared" si="5" ref="Y3:Y69">X3*P3</f>
        <v>0</v>
      </c>
      <c r="Z3" s="146"/>
      <c r="AA3" s="155">
        <f aca="true" t="shared" si="6" ref="AA3:AA69">R3+T3+V3+X3</f>
        <v>0</v>
      </c>
      <c r="AB3" s="155">
        <f aca="true" t="shared" si="7" ref="AB3:AB33">O3-AA3</f>
        <v>0</v>
      </c>
      <c r="AC3" s="149">
        <f aca="true" t="shared" si="8" ref="AC3:AC28">O3/4</f>
        <v>0</v>
      </c>
      <c r="AD3" s="156">
        <f aca="true" t="shared" si="9" ref="AD3:AD28">Q3/4</f>
        <v>0</v>
      </c>
      <c r="AJ3" s="206">
        <f>AG3/10*12</f>
        <v>0</v>
      </c>
      <c r="AL3" s="149">
        <f aca="true" t="shared" si="10" ref="AL3:AL28">AK3/H3</f>
        <v>0</v>
      </c>
    </row>
    <row r="4" spans="1:38" ht="15">
      <c r="A4" s="140">
        <v>10949</v>
      </c>
      <c r="B4" s="140">
        <v>2</v>
      </c>
      <c r="C4" s="146" t="s">
        <v>611</v>
      </c>
      <c r="D4" s="147" t="s">
        <v>1219</v>
      </c>
      <c r="E4" s="191" t="s">
        <v>1461</v>
      </c>
      <c r="F4" s="153">
        <v>1</v>
      </c>
      <c r="G4" s="154" t="s">
        <v>1246</v>
      </c>
      <c r="H4" s="140">
        <v>50</v>
      </c>
      <c r="I4" s="140" t="s">
        <v>1238</v>
      </c>
      <c r="J4" s="143">
        <v>37</v>
      </c>
      <c r="K4" s="142">
        <v>180</v>
      </c>
      <c r="L4" s="142">
        <v>12</v>
      </c>
      <c r="M4" s="143">
        <v>100</v>
      </c>
      <c r="N4" s="144">
        <v>100</v>
      </c>
      <c r="O4" s="143">
        <f t="shared" si="0"/>
        <v>0</v>
      </c>
      <c r="P4" s="140">
        <v>51.69</v>
      </c>
      <c r="Q4" s="159">
        <f t="shared" si="1"/>
        <v>0</v>
      </c>
      <c r="R4" s="140">
        <v>0</v>
      </c>
      <c r="S4" s="151">
        <f t="shared" si="2"/>
        <v>0</v>
      </c>
      <c r="T4" s="142">
        <v>0</v>
      </c>
      <c r="U4" s="151">
        <f t="shared" si="3"/>
        <v>0</v>
      </c>
      <c r="V4" s="140">
        <v>0</v>
      </c>
      <c r="W4" s="151">
        <f t="shared" si="4"/>
        <v>0</v>
      </c>
      <c r="X4" s="142">
        <v>0</v>
      </c>
      <c r="Y4" s="151">
        <f t="shared" si="5"/>
        <v>0</v>
      </c>
      <c r="Z4" s="146"/>
      <c r="AA4" s="155">
        <f t="shared" si="6"/>
        <v>0</v>
      </c>
      <c r="AB4" s="155">
        <f t="shared" si="7"/>
        <v>0</v>
      </c>
      <c r="AC4" s="149">
        <f t="shared" si="8"/>
        <v>0</v>
      </c>
      <c r="AD4" s="156">
        <f t="shared" si="9"/>
        <v>0</v>
      </c>
      <c r="AG4" s="149">
        <v>10</v>
      </c>
      <c r="AH4" s="213">
        <v>516.9</v>
      </c>
      <c r="AI4" s="150" t="s">
        <v>1300</v>
      </c>
      <c r="AJ4" s="206">
        <f aca="true" t="shared" si="11" ref="AJ4:AJ66">AG4/10*12</f>
        <v>12</v>
      </c>
      <c r="AL4" s="149">
        <f t="shared" si="10"/>
        <v>0</v>
      </c>
    </row>
    <row r="5" spans="1:36" ht="15">
      <c r="A5" s="140">
        <v>10949</v>
      </c>
      <c r="B5" s="140">
        <v>3</v>
      </c>
      <c r="C5" s="146"/>
      <c r="D5" s="147"/>
      <c r="E5" s="191" t="s">
        <v>1462</v>
      </c>
      <c r="F5" s="153">
        <v>1</v>
      </c>
      <c r="G5" s="154" t="s">
        <v>1246</v>
      </c>
      <c r="H5" s="140">
        <v>5</v>
      </c>
      <c r="I5" s="140" t="s">
        <v>1238</v>
      </c>
      <c r="J5" s="143">
        <v>525</v>
      </c>
      <c r="K5" s="142">
        <v>1236</v>
      </c>
      <c r="L5" s="142">
        <v>2836.8</v>
      </c>
      <c r="M5" s="143">
        <v>3000</v>
      </c>
      <c r="N5" s="144">
        <v>1400</v>
      </c>
      <c r="O5" s="143">
        <f t="shared" si="0"/>
        <v>1600</v>
      </c>
      <c r="P5" s="140">
        <v>13.91</v>
      </c>
      <c r="Q5" s="159">
        <f t="shared" si="1"/>
        <v>22256</v>
      </c>
      <c r="R5" s="140">
        <v>0</v>
      </c>
      <c r="S5" s="151">
        <f t="shared" si="2"/>
        <v>0</v>
      </c>
      <c r="T5" s="142">
        <v>0</v>
      </c>
      <c r="U5" s="151">
        <f t="shared" si="3"/>
        <v>0</v>
      </c>
      <c r="V5" s="140">
        <v>800</v>
      </c>
      <c r="W5" s="151">
        <f t="shared" si="4"/>
        <v>11128</v>
      </c>
      <c r="X5" s="142">
        <v>800</v>
      </c>
      <c r="Y5" s="151">
        <f t="shared" si="5"/>
        <v>11128</v>
      </c>
      <c r="Z5" s="146"/>
      <c r="AA5" s="155">
        <f>R5+T5+V5+X5</f>
        <v>1600</v>
      </c>
      <c r="AB5" s="155">
        <f>O5-AA5</f>
        <v>0</v>
      </c>
      <c r="AC5" s="149">
        <f>O5/4</f>
        <v>400</v>
      </c>
      <c r="AD5" s="156"/>
      <c r="AG5" s="149">
        <v>2364</v>
      </c>
      <c r="AH5" s="149">
        <v>32883.240000000005</v>
      </c>
      <c r="AJ5" s="206">
        <f t="shared" si="11"/>
        <v>2836.8</v>
      </c>
    </row>
    <row r="6" spans="1:38" ht="15">
      <c r="A6" s="140">
        <v>10949</v>
      </c>
      <c r="B6" s="140">
        <v>4</v>
      </c>
      <c r="C6" s="146" t="s">
        <v>613</v>
      </c>
      <c r="D6" s="147" t="s">
        <v>612</v>
      </c>
      <c r="E6" s="191" t="s">
        <v>9</v>
      </c>
      <c r="F6" s="153">
        <v>1</v>
      </c>
      <c r="G6" s="154" t="s">
        <v>1245</v>
      </c>
      <c r="H6" s="140">
        <v>100</v>
      </c>
      <c r="I6" s="140" t="s">
        <v>376</v>
      </c>
      <c r="J6" s="143">
        <v>182</v>
      </c>
      <c r="K6" s="142">
        <v>149</v>
      </c>
      <c r="L6" s="142">
        <v>88.80000000000001</v>
      </c>
      <c r="M6" s="143">
        <v>150</v>
      </c>
      <c r="N6" s="144">
        <v>30</v>
      </c>
      <c r="O6" s="143">
        <f t="shared" si="0"/>
        <v>120</v>
      </c>
      <c r="P6" s="140">
        <v>125</v>
      </c>
      <c r="Q6" s="159">
        <f t="shared" si="1"/>
        <v>15000</v>
      </c>
      <c r="R6" s="140">
        <v>30</v>
      </c>
      <c r="S6" s="151">
        <f t="shared" si="2"/>
        <v>3750</v>
      </c>
      <c r="T6" s="142">
        <v>30</v>
      </c>
      <c r="U6" s="151">
        <f t="shared" si="3"/>
        <v>3750</v>
      </c>
      <c r="V6" s="140">
        <v>30</v>
      </c>
      <c r="W6" s="151">
        <f t="shared" si="4"/>
        <v>3750</v>
      </c>
      <c r="X6" s="142">
        <v>30</v>
      </c>
      <c r="Y6" s="151">
        <f t="shared" si="5"/>
        <v>3750</v>
      </c>
      <c r="Z6" s="146"/>
      <c r="AA6" s="155">
        <f t="shared" si="6"/>
        <v>120</v>
      </c>
      <c r="AB6" s="155">
        <f t="shared" si="7"/>
        <v>0</v>
      </c>
      <c r="AC6" s="149">
        <f t="shared" si="8"/>
        <v>30</v>
      </c>
      <c r="AD6" s="156">
        <f t="shared" si="9"/>
        <v>3750</v>
      </c>
      <c r="AG6" s="149">
        <v>74</v>
      </c>
      <c r="AH6" s="149">
        <v>9250</v>
      </c>
      <c r="AI6" s="150" t="s">
        <v>1356</v>
      </c>
      <c r="AJ6" s="206">
        <f t="shared" si="11"/>
        <v>88.80000000000001</v>
      </c>
      <c r="AL6" s="149">
        <f t="shared" si="10"/>
        <v>0</v>
      </c>
    </row>
    <row r="7" spans="1:38" ht="15">
      <c r="A7" s="140">
        <v>10949</v>
      </c>
      <c r="B7" s="140">
        <v>5</v>
      </c>
      <c r="C7" s="146" t="s">
        <v>1183</v>
      </c>
      <c r="D7" s="147" t="s">
        <v>1182</v>
      </c>
      <c r="E7" s="191" t="s">
        <v>212</v>
      </c>
      <c r="F7" s="153">
        <v>2</v>
      </c>
      <c r="G7" s="154" t="s">
        <v>1247</v>
      </c>
      <c r="H7" s="140">
        <v>1</v>
      </c>
      <c r="I7" s="140" t="s">
        <v>1238</v>
      </c>
      <c r="J7" s="140">
        <v>372</v>
      </c>
      <c r="K7" s="142">
        <v>276</v>
      </c>
      <c r="L7" s="142">
        <v>187.2</v>
      </c>
      <c r="M7" s="143">
        <v>300</v>
      </c>
      <c r="N7" s="144">
        <v>60</v>
      </c>
      <c r="O7" s="143">
        <f t="shared" si="0"/>
        <v>240</v>
      </c>
      <c r="P7" s="140">
        <v>12.083333333333334</v>
      </c>
      <c r="Q7" s="159">
        <f t="shared" si="1"/>
        <v>2900</v>
      </c>
      <c r="R7" s="140">
        <v>0</v>
      </c>
      <c r="S7" s="151">
        <f t="shared" si="2"/>
        <v>0</v>
      </c>
      <c r="T7" s="142">
        <v>80</v>
      </c>
      <c r="U7" s="151">
        <f t="shared" si="3"/>
        <v>966.6666666666667</v>
      </c>
      <c r="V7" s="140">
        <v>80</v>
      </c>
      <c r="W7" s="151">
        <f t="shared" si="4"/>
        <v>966.6666666666667</v>
      </c>
      <c r="X7" s="142">
        <v>80</v>
      </c>
      <c r="Y7" s="151">
        <f t="shared" si="5"/>
        <v>966.6666666666667</v>
      </c>
      <c r="Z7" s="146"/>
      <c r="AA7" s="155">
        <f t="shared" si="6"/>
        <v>240</v>
      </c>
      <c r="AB7" s="155">
        <f t="shared" si="7"/>
        <v>0</v>
      </c>
      <c r="AC7" s="149">
        <f t="shared" si="8"/>
        <v>60</v>
      </c>
      <c r="AD7" s="156">
        <f t="shared" si="9"/>
        <v>725</v>
      </c>
      <c r="AG7" s="149">
        <v>156</v>
      </c>
      <c r="AH7" s="149">
        <v>1885</v>
      </c>
      <c r="AI7" s="150" t="s">
        <v>1354</v>
      </c>
      <c r="AJ7" s="206">
        <f t="shared" si="11"/>
        <v>187.2</v>
      </c>
      <c r="AL7" s="149">
        <f t="shared" si="10"/>
        <v>0</v>
      </c>
    </row>
    <row r="8" spans="1:38" ht="15">
      <c r="A8" s="140">
        <v>10949</v>
      </c>
      <c r="B8" s="140">
        <v>6</v>
      </c>
      <c r="C8" s="146" t="s">
        <v>615</v>
      </c>
      <c r="D8" s="147" t="s">
        <v>614</v>
      </c>
      <c r="E8" s="152" t="s">
        <v>485</v>
      </c>
      <c r="F8" s="153">
        <v>1</v>
      </c>
      <c r="G8" s="146" t="s">
        <v>1248</v>
      </c>
      <c r="H8" s="140">
        <v>1</v>
      </c>
      <c r="I8" s="140" t="s">
        <v>486</v>
      </c>
      <c r="J8" s="143">
        <v>36</v>
      </c>
      <c r="K8" s="142">
        <v>75</v>
      </c>
      <c r="L8" s="142">
        <v>39.599999999999994</v>
      </c>
      <c r="M8" s="143">
        <v>60</v>
      </c>
      <c r="N8" s="144">
        <v>72</v>
      </c>
      <c r="O8" s="143">
        <v>0</v>
      </c>
      <c r="P8" s="145">
        <v>385.556667</v>
      </c>
      <c r="Q8" s="159">
        <f t="shared" si="1"/>
        <v>0</v>
      </c>
      <c r="R8" s="140">
        <v>0</v>
      </c>
      <c r="S8" s="151">
        <f t="shared" si="2"/>
        <v>0</v>
      </c>
      <c r="T8" s="142">
        <v>0</v>
      </c>
      <c r="U8" s="151">
        <f t="shared" si="3"/>
        <v>0</v>
      </c>
      <c r="V8" s="140">
        <v>0</v>
      </c>
      <c r="W8" s="151">
        <f t="shared" si="4"/>
        <v>0</v>
      </c>
      <c r="X8" s="142">
        <v>0</v>
      </c>
      <c r="Y8" s="151">
        <f t="shared" si="5"/>
        <v>0</v>
      </c>
      <c r="Z8" s="146"/>
      <c r="AA8" s="155">
        <f t="shared" si="6"/>
        <v>0</v>
      </c>
      <c r="AB8" s="155">
        <f t="shared" si="7"/>
        <v>0</v>
      </c>
      <c r="AC8" s="149">
        <f t="shared" si="8"/>
        <v>0</v>
      </c>
      <c r="AD8" s="156">
        <f t="shared" si="9"/>
        <v>0</v>
      </c>
      <c r="AG8" s="149">
        <v>33</v>
      </c>
      <c r="AH8" s="149">
        <v>12723.369999999999</v>
      </c>
      <c r="AI8" s="150" t="s">
        <v>1352</v>
      </c>
      <c r="AJ8" s="206">
        <f t="shared" si="11"/>
        <v>39.599999999999994</v>
      </c>
      <c r="AL8" s="149">
        <f t="shared" si="10"/>
        <v>0</v>
      </c>
    </row>
    <row r="9" spans="1:38" ht="15">
      <c r="A9" s="140">
        <v>10949</v>
      </c>
      <c r="B9" s="140">
        <v>7</v>
      </c>
      <c r="C9" s="146" t="s">
        <v>617</v>
      </c>
      <c r="D9" s="147" t="s">
        <v>616</v>
      </c>
      <c r="E9" s="191" t="s">
        <v>10</v>
      </c>
      <c r="F9" s="153">
        <v>1</v>
      </c>
      <c r="G9" s="154" t="s">
        <v>1245</v>
      </c>
      <c r="H9" s="140">
        <v>500</v>
      </c>
      <c r="I9" s="140" t="s">
        <v>376</v>
      </c>
      <c r="J9" s="143">
        <v>22</v>
      </c>
      <c r="K9" s="142">
        <v>14</v>
      </c>
      <c r="L9" s="142">
        <v>16.799999999999997</v>
      </c>
      <c r="M9" s="143">
        <v>18</v>
      </c>
      <c r="N9" s="144">
        <v>21</v>
      </c>
      <c r="O9" s="143">
        <v>0</v>
      </c>
      <c r="P9" s="140">
        <v>150</v>
      </c>
      <c r="Q9" s="159">
        <f t="shared" si="1"/>
        <v>0</v>
      </c>
      <c r="R9" s="140">
        <v>0</v>
      </c>
      <c r="S9" s="151">
        <f t="shared" si="2"/>
        <v>0</v>
      </c>
      <c r="T9" s="142">
        <v>0</v>
      </c>
      <c r="U9" s="151">
        <f t="shared" si="3"/>
        <v>0</v>
      </c>
      <c r="V9" s="140">
        <v>0</v>
      </c>
      <c r="W9" s="151">
        <f t="shared" si="4"/>
        <v>0</v>
      </c>
      <c r="X9" s="142">
        <v>0</v>
      </c>
      <c r="Y9" s="151">
        <f t="shared" si="5"/>
        <v>0</v>
      </c>
      <c r="Z9" s="146"/>
      <c r="AA9" s="155">
        <f t="shared" si="6"/>
        <v>0</v>
      </c>
      <c r="AB9" s="155">
        <f t="shared" si="7"/>
        <v>0</v>
      </c>
      <c r="AC9" s="149">
        <f t="shared" si="8"/>
        <v>0</v>
      </c>
      <c r="AD9" s="156">
        <f t="shared" si="9"/>
        <v>0</v>
      </c>
      <c r="AG9" s="149">
        <v>14</v>
      </c>
      <c r="AH9" s="149">
        <v>2100</v>
      </c>
      <c r="AI9" s="150" t="s">
        <v>1352</v>
      </c>
      <c r="AJ9" s="206">
        <f t="shared" si="11"/>
        <v>16.799999999999997</v>
      </c>
      <c r="AL9" s="149">
        <f t="shared" si="10"/>
        <v>0</v>
      </c>
    </row>
    <row r="10" spans="1:38" ht="15">
      <c r="A10" s="140">
        <v>10949</v>
      </c>
      <c r="B10" s="140">
        <v>8</v>
      </c>
      <c r="C10" s="146" t="s">
        <v>619</v>
      </c>
      <c r="D10" s="147" t="s">
        <v>618</v>
      </c>
      <c r="E10" s="191" t="s">
        <v>11</v>
      </c>
      <c r="F10" s="153">
        <v>1</v>
      </c>
      <c r="G10" s="154" t="s">
        <v>1245</v>
      </c>
      <c r="H10" s="140">
        <v>100</v>
      </c>
      <c r="I10" s="140" t="s">
        <v>376</v>
      </c>
      <c r="J10" s="143">
        <v>62</v>
      </c>
      <c r="K10" s="142">
        <v>56</v>
      </c>
      <c r="L10" s="142">
        <v>34.8</v>
      </c>
      <c r="M10" s="143">
        <v>55</v>
      </c>
      <c r="N10" s="144">
        <v>0</v>
      </c>
      <c r="O10" s="143">
        <f t="shared" si="0"/>
        <v>55</v>
      </c>
      <c r="P10" s="140">
        <v>165</v>
      </c>
      <c r="Q10" s="159">
        <f t="shared" si="1"/>
        <v>9075</v>
      </c>
      <c r="R10" s="140">
        <v>15</v>
      </c>
      <c r="S10" s="151">
        <f t="shared" si="2"/>
        <v>2475</v>
      </c>
      <c r="T10" s="142">
        <v>15</v>
      </c>
      <c r="U10" s="151">
        <f t="shared" si="3"/>
        <v>2475</v>
      </c>
      <c r="V10" s="140">
        <v>15</v>
      </c>
      <c r="W10" s="151">
        <f t="shared" si="4"/>
        <v>2475</v>
      </c>
      <c r="X10" s="142">
        <v>10</v>
      </c>
      <c r="Y10" s="151">
        <f t="shared" si="5"/>
        <v>1650</v>
      </c>
      <c r="Z10" s="146"/>
      <c r="AA10" s="155">
        <f t="shared" si="6"/>
        <v>55</v>
      </c>
      <c r="AB10" s="155">
        <f t="shared" si="7"/>
        <v>0</v>
      </c>
      <c r="AC10" s="149">
        <f t="shared" si="8"/>
        <v>13.75</v>
      </c>
      <c r="AD10" s="156">
        <f t="shared" si="9"/>
        <v>2268.75</v>
      </c>
      <c r="AG10" s="149">
        <v>29</v>
      </c>
      <c r="AH10" s="149">
        <v>4155</v>
      </c>
      <c r="AI10" s="150" t="s">
        <v>1356</v>
      </c>
      <c r="AJ10" s="206">
        <f t="shared" si="11"/>
        <v>34.8</v>
      </c>
      <c r="AL10" s="149">
        <f t="shared" si="10"/>
        <v>0</v>
      </c>
    </row>
    <row r="11" spans="1:38" ht="15">
      <c r="A11" s="140">
        <v>10949</v>
      </c>
      <c r="B11" s="140">
        <v>9</v>
      </c>
      <c r="C11" s="146" t="s">
        <v>620</v>
      </c>
      <c r="D11" s="147" t="s">
        <v>618</v>
      </c>
      <c r="E11" s="191" t="s">
        <v>12</v>
      </c>
      <c r="F11" s="153">
        <v>1</v>
      </c>
      <c r="G11" s="154" t="s">
        <v>1249</v>
      </c>
      <c r="H11" s="140">
        <v>20</v>
      </c>
      <c r="I11" s="140" t="s">
        <v>1250</v>
      </c>
      <c r="J11" s="143">
        <v>425</v>
      </c>
      <c r="K11" s="142">
        <v>280</v>
      </c>
      <c r="L11" s="142">
        <v>300</v>
      </c>
      <c r="M11" s="143">
        <v>340</v>
      </c>
      <c r="N11" s="144">
        <v>40</v>
      </c>
      <c r="O11" s="143">
        <f t="shared" si="0"/>
        <v>300</v>
      </c>
      <c r="P11" s="140">
        <v>11</v>
      </c>
      <c r="Q11" s="159">
        <f t="shared" si="1"/>
        <v>3300</v>
      </c>
      <c r="R11" s="140">
        <v>0</v>
      </c>
      <c r="S11" s="151">
        <f t="shared" si="2"/>
        <v>0</v>
      </c>
      <c r="T11" s="142">
        <v>100</v>
      </c>
      <c r="U11" s="151">
        <f t="shared" si="3"/>
        <v>1100</v>
      </c>
      <c r="V11" s="140">
        <v>100</v>
      </c>
      <c r="W11" s="151">
        <f t="shared" si="4"/>
        <v>1100</v>
      </c>
      <c r="X11" s="142">
        <v>100</v>
      </c>
      <c r="Y11" s="151">
        <f t="shared" si="5"/>
        <v>1100</v>
      </c>
      <c r="Z11" s="146"/>
      <c r="AA11" s="155">
        <f t="shared" si="6"/>
        <v>300</v>
      </c>
      <c r="AB11" s="155">
        <f t="shared" si="7"/>
        <v>0</v>
      </c>
      <c r="AC11" s="149">
        <f t="shared" si="8"/>
        <v>75</v>
      </c>
      <c r="AD11" s="156">
        <f t="shared" si="9"/>
        <v>825</v>
      </c>
      <c r="AG11" s="149">
        <v>250</v>
      </c>
      <c r="AH11" s="149">
        <v>2750</v>
      </c>
      <c r="AI11" s="150" t="s">
        <v>1352</v>
      </c>
      <c r="AJ11" s="206">
        <f t="shared" si="11"/>
        <v>300</v>
      </c>
      <c r="AL11" s="149">
        <f t="shared" si="10"/>
        <v>0</v>
      </c>
    </row>
    <row r="12" spans="1:38" ht="15">
      <c r="A12" s="140">
        <v>10949</v>
      </c>
      <c r="B12" s="140">
        <v>10</v>
      </c>
      <c r="C12" s="146" t="s">
        <v>622</v>
      </c>
      <c r="D12" s="147" t="s">
        <v>621</v>
      </c>
      <c r="E12" s="191" t="s">
        <v>13</v>
      </c>
      <c r="F12" s="153">
        <v>1</v>
      </c>
      <c r="G12" s="154" t="s">
        <v>1245</v>
      </c>
      <c r="H12" s="140">
        <v>500</v>
      </c>
      <c r="I12" s="140" t="s">
        <v>376</v>
      </c>
      <c r="J12" s="143">
        <v>132</v>
      </c>
      <c r="K12" s="142">
        <v>140</v>
      </c>
      <c r="L12" s="142">
        <v>134.39999999999998</v>
      </c>
      <c r="M12" s="143">
        <v>140</v>
      </c>
      <c r="N12" s="144">
        <v>10</v>
      </c>
      <c r="O12" s="143">
        <f t="shared" si="0"/>
        <v>130</v>
      </c>
      <c r="P12" s="140">
        <v>190</v>
      </c>
      <c r="Q12" s="159">
        <f t="shared" si="1"/>
        <v>24700</v>
      </c>
      <c r="R12" s="140">
        <v>30</v>
      </c>
      <c r="S12" s="151">
        <f t="shared" si="2"/>
        <v>5700</v>
      </c>
      <c r="T12" s="142">
        <v>40</v>
      </c>
      <c r="U12" s="151">
        <f t="shared" si="3"/>
        <v>7600</v>
      </c>
      <c r="V12" s="140">
        <v>30</v>
      </c>
      <c r="W12" s="151">
        <f t="shared" si="4"/>
        <v>5700</v>
      </c>
      <c r="X12" s="142">
        <v>30</v>
      </c>
      <c r="Y12" s="151">
        <f t="shared" si="5"/>
        <v>5700</v>
      </c>
      <c r="Z12" s="146"/>
      <c r="AA12" s="155">
        <f t="shared" si="6"/>
        <v>130</v>
      </c>
      <c r="AB12" s="155">
        <f t="shared" si="7"/>
        <v>0</v>
      </c>
      <c r="AC12" s="149">
        <f t="shared" si="8"/>
        <v>32.5</v>
      </c>
      <c r="AD12" s="156">
        <f t="shared" si="9"/>
        <v>6175</v>
      </c>
      <c r="AG12" s="149">
        <v>112</v>
      </c>
      <c r="AH12" s="149">
        <v>21280</v>
      </c>
      <c r="AI12" s="150" t="s">
        <v>1356</v>
      </c>
      <c r="AJ12" s="206">
        <f t="shared" si="11"/>
        <v>134.39999999999998</v>
      </c>
      <c r="AL12" s="149">
        <f t="shared" si="10"/>
        <v>0</v>
      </c>
    </row>
    <row r="13" spans="1:38" ht="15">
      <c r="A13" s="140">
        <v>10949</v>
      </c>
      <c r="B13" s="140">
        <v>11</v>
      </c>
      <c r="C13" s="146" t="s">
        <v>624</v>
      </c>
      <c r="D13" s="147" t="s">
        <v>623</v>
      </c>
      <c r="E13" s="191" t="s">
        <v>14</v>
      </c>
      <c r="F13" s="153">
        <v>1</v>
      </c>
      <c r="G13" s="154" t="s">
        <v>1245</v>
      </c>
      <c r="H13" s="140">
        <v>500</v>
      </c>
      <c r="I13" s="140" t="s">
        <v>376</v>
      </c>
      <c r="J13" s="143">
        <v>8</v>
      </c>
      <c r="K13" s="142">
        <v>10</v>
      </c>
      <c r="L13" s="142">
        <v>10.8</v>
      </c>
      <c r="M13" s="143">
        <v>10</v>
      </c>
      <c r="N13" s="144">
        <v>0</v>
      </c>
      <c r="O13" s="143">
        <f t="shared" si="0"/>
        <v>10</v>
      </c>
      <c r="P13" s="140">
        <v>127.33</v>
      </c>
      <c r="Q13" s="159">
        <f t="shared" si="1"/>
        <v>1273.3</v>
      </c>
      <c r="R13" s="140">
        <v>10</v>
      </c>
      <c r="S13" s="151">
        <f t="shared" si="2"/>
        <v>1273.3</v>
      </c>
      <c r="T13" s="142">
        <v>0</v>
      </c>
      <c r="U13" s="151">
        <f t="shared" si="3"/>
        <v>0</v>
      </c>
      <c r="V13" s="140">
        <v>0</v>
      </c>
      <c r="W13" s="151">
        <f t="shared" si="4"/>
        <v>0</v>
      </c>
      <c r="X13" s="142">
        <v>0</v>
      </c>
      <c r="Y13" s="151">
        <f t="shared" si="5"/>
        <v>0</v>
      </c>
      <c r="Z13" s="146"/>
      <c r="AA13" s="155">
        <f t="shared" si="6"/>
        <v>10</v>
      </c>
      <c r="AB13" s="155">
        <f t="shared" si="7"/>
        <v>0</v>
      </c>
      <c r="AC13" s="149">
        <f t="shared" si="8"/>
        <v>2.5</v>
      </c>
      <c r="AD13" s="156">
        <f t="shared" si="9"/>
        <v>318.325</v>
      </c>
      <c r="AG13" s="149">
        <v>9</v>
      </c>
      <c r="AH13" s="149">
        <v>1145.97</v>
      </c>
      <c r="AI13" s="150" t="s">
        <v>1352</v>
      </c>
      <c r="AJ13" s="206">
        <f t="shared" si="11"/>
        <v>10.8</v>
      </c>
      <c r="AL13" s="149">
        <f t="shared" si="10"/>
        <v>0</v>
      </c>
    </row>
    <row r="14" spans="1:38" ht="15">
      <c r="A14" s="140">
        <v>10949</v>
      </c>
      <c r="B14" s="140">
        <v>12</v>
      </c>
      <c r="C14" s="146" t="s">
        <v>626</v>
      </c>
      <c r="D14" s="147" t="s">
        <v>625</v>
      </c>
      <c r="E14" s="191" t="s">
        <v>15</v>
      </c>
      <c r="F14" s="153">
        <v>1</v>
      </c>
      <c r="G14" s="154" t="s">
        <v>1248</v>
      </c>
      <c r="H14" s="140">
        <v>1</v>
      </c>
      <c r="I14" s="140" t="s">
        <v>486</v>
      </c>
      <c r="J14" s="143">
        <v>90</v>
      </c>
      <c r="K14" s="142">
        <v>134</v>
      </c>
      <c r="L14" s="142">
        <v>97.19999999999999</v>
      </c>
      <c r="M14" s="143">
        <v>114</v>
      </c>
      <c r="N14" s="144">
        <v>24</v>
      </c>
      <c r="O14" s="143">
        <f t="shared" si="0"/>
        <v>90</v>
      </c>
      <c r="P14" s="140">
        <v>92.733274</v>
      </c>
      <c r="Q14" s="159">
        <f t="shared" si="1"/>
        <v>8345.99466</v>
      </c>
      <c r="R14" s="140">
        <v>0</v>
      </c>
      <c r="S14" s="151">
        <f t="shared" si="2"/>
        <v>0</v>
      </c>
      <c r="T14" s="142">
        <v>30</v>
      </c>
      <c r="U14" s="151">
        <f t="shared" si="3"/>
        <v>2781.99822</v>
      </c>
      <c r="V14" s="140">
        <v>30</v>
      </c>
      <c r="W14" s="151">
        <f t="shared" si="4"/>
        <v>2781.99822</v>
      </c>
      <c r="X14" s="142">
        <v>30</v>
      </c>
      <c r="Y14" s="151">
        <f t="shared" si="5"/>
        <v>2781.99822</v>
      </c>
      <c r="Z14" s="146"/>
      <c r="AA14" s="155">
        <f t="shared" si="6"/>
        <v>90</v>
      </c>
      <c r="AB14" s="155">
        <f t="shared" si="7"/>
        <v>0</v>
      </c>
      <c r="AC14" s="149">
        <f t="shared" si="8"/>
        <v>22.5</v>
      </c>
      <c r="AD14" s="156">
        <f t="shared" si="9"/>
        <v>2086.498665</v>
      </c>
      <c r="AG14" s="149">
        <v>81</v>
      </c>
      <c r="AH14" s="149">
        <v>7511.41</v>
      </c>
      <c r="AI14" s="150" t="s">
        <v>1300</v>
      </c>
      <c r="AJ14" s="206">
        <f t="shared" si="11"/>
        <v>97.19999999999999</v>
      </c>
      <c r="AL14" s="149">
        <f t="shared" si="10"/>
        <v>0</v>
      </c>
    </row>
    <row r="15" spans="1:38" ht="15">
      <c r="A15" s="140">
        <v>10949</v>
      </c>
      <c r="B15" s="140">
        <v>13</v>
      </c>
      <c r="C15" s="146" t="s">
        <v>628</v>
      </c>
      <c r="D15" s="147" t="s">
        <v>627</v>
      </c>
      <c r="E15" s="191" t="s">
        <v>16</v>
      </c>
      <c r="F15" s="153">
        <v>1</v>
      </c>
      <c r="G15" s="154" t="s">
        <v>1245</v>
      </c>
      <c r="H15" s="140">
        <v>500</v>
      </c>
      <c r="I15" s="140" t="s">
        <v>376</v>
      </c>
      <c r="J15" s="143">
        <v>179</v>
      </c>
      <c r="K15" s="142">
        <v>193</v>
      </c>
      <c r="L15" s="142">
        <v>217.20000000000002</v>
      </c>
      <c r="M15" s="143">
        <v>220</v>
      </c>
      <c r="N15" s="144">
        <v>10</v>
      </c>
      <c r="O15" s="143">
        <f t="shared" si="0"/>
        <v>210</v>
      </c>
      <c r="P15" s="140">
        <v>113</v>
      </c>
      <c r="Q15" s="159">
        <f t="shared" si="1"/>
        <v>23730</v>
      </c>
      <c r="R15" s="140">
        <v>50</v>
      </c>
      <c r="S15" s="151">
        <f t="shared" si="2"/>
        <v>5650</v>
      </c>
      <c r="T15" s="142">
        <v>60</v>
      </c>
      <c r="U15" s="151">
        <f t="shared" si="3"/>
        <v>6780</v>
      </c>
      <c r="V15" s="140">
        <v>50</v>
      </c>
      <c r="W15" s="151">
        <f t="shared" si="4"/>
        <v>5650</v>
      </c>
      <c r="X15" s="142">
        <v>50</v>
      </c>
      <c r="Y15" s="151">
        <f t="shared" si="5"/>
        <v>5650</v>
      </c>
      <c r="Z15" s="146"/>
      <c r="AA15" s="155">
        <f t="shared" si="6"/>
        <v>210</v>
      </c>
      <c r="AB15" s="155">
        <f t="shared" si="7"/>
        <v>0</v>
      </c>
      <c r="AC15" s="149">
        <f t="shared" si="8"/>
        <v>52.5</v>
      </c>
      <c r="AD15" s="156">
        <f t="shared" si="9"/>
        <v>5932.5</v>
      </c>
      <c r="AG15" s="149">
        <v>181</v>
      </c>
      <c r="AH15" s="149">
        <v>20453</v>
      </c>
      <c r="AI15" s="150" t="s">
        <v>1356</v>
      </c>
      <c r="AJ15" s="206">
        <f t="shared" si="11"/>
        <v>217.20000000000002</v>
      </c>
      <c r="AL15" s="149">
        <f t="shared" si="10"/>
        <v>0</v>
      </c>
    </row>
    <row r="16" spans="1:38" ht="15">
      <c r="A16" s="140">
        <v>10949</v>
      </c>
      <c r="B16" s="140">
        <v>14</v>
      </c>
      <c r="C16" s="146" t="s">
        <v>630</v>
      </c>
      <c r="D16" s="147" t="s">
        <v>629</v>
      </c>
      <c r="E16" s="191" t="s">
        <v>17</v>
      </c>
      <c r="F16" s="153">
        <v>1</v>
      </c>
      <c r="G16" s="154" t="s">
        <v>1245</v>
      </c>
      <c r="H16" s="140">
        <v>500</v>
      </c>
      <c r="I16" s="140" t="s">
        <v>376</v>
      </c>
      <c r="J16" s="143">
        <v>42</v>
      </c>
      <c r="K16" s="142">
        <v>37</v>
      </c>
      <c r="L16" s="142">
        <v>34.8</v>
      </c>
      <c r="M16" s="143">
        <v>40</v>
      </c>
      <c r="N16" s="144">
        <v>5</v>
      </c>
      <c r="O16" s="143">
        <f t="shared" si="0"/>
        <v>35</v>
      </c>
      <c r="P16" s="140">
        <v>187.25</v>
      </c>
      <c r="Q16" s="159">
        <f t="shared" si="1"/>
        <v>6553.75</v>
      </c>
      <c r="R16" s="140">
        <v>5</v>
      </c>
      <c r="S16" s="151">
        <f t="shared" si="2"/>
        <v>936.25</v>
      </c>
      <c r="T16" s="142">
        <v>10</v>
      </c>
      <c r="U16" s="151">
        <f t="shared" si="3"/>
        <v>1872.5</v>
      </c>
      <c r="V16" s="140">
        <v>10</v>
      </c>
      <c r="W16" s="151">
        <f t="shared" si="4"/>
        <v>1872.5</v>
      </c>
      <c r="X16" s="142">
        <v>10</v>
      </c>
      <c r="Y16" s="151">
        <f t="shared" si="5"/>
        <v>1872.5</v>
      </c>
      <c r="Z16" s="146"/>
      <c r="AA16" s="155">
        <f t="shared" si="6"/>
        <v>35</v>
      </c>
      <c r="AB16" s="155">
        <f t="shared" si="7"/>
        <v>0</v>
      </c>
      <c r="AC16" s="149">
        <f t="shared" si="8"/>
        <v>8.75</v>
      </c>
      <c r="AD16" s="156">
        <f t="shared" si="9"/>
        <v>1638.4375</v>
      </c>
      <c r="AG16" s="149">
        <v>29</v>
      </c>
      <c r="AH16" s="149">
        <v>5430.25</v>
      </c>
      <c r="AI16" s="150" t="s">
        <v>1352</v>
      </c>
      <c r="AJ16" s="206">
        <f t="shared" si="11"/>
        <v>34.8</v>
      </c>
      <c r="AL16" s="149">
        <f t="shared" si="10"/>
        <v>0</v>
      </c>
    </row>
    <row r="17" spans="1:38" ht="15">
      <c r="A17" s="140">
        <v>10949</v>
      </c>
      <c r="B17" s="140">
        <v>15</v>
      </c>
      <c r="C17" s="146" t="s">
        <v>632</v>
      </c>
      <c r="D17" s="147" t="s">
        <v>631</v>
      </c>
      <c r="E17" s="191" t="s">
        <v>18</v>
      </c>
      <c r="F17" s="153">
        <v>1</v>
      </c>
      <c r="G17" s="154" t="s">
        <v>1245</v>
      </c>
      <c r="H17" s="140">
        <v>100</v>
      </c>
      <c r="I17" s="140" t="s">
        <v>376</v>
      </c>
      <c r="J17" s="143">
        <v>12810</v>
      </c>
      <c r="K17" s="142">
        <v>14070</v>
      </c>
      <c r="L17" s="142">
        <v>15456</v>
      </c>
      <c r="M17" s="143">
        <v>16000</v>
      </c>
      <c r="N17" s="144">
        <v>500</v>
      </c>
      <c r="O17" s="143">
        <f t="shared" si="0"/>
        <v>15500</v>
      </c>
      <c r="P17" s="143">
        <v>38.52</v>
      </c>
      <c r="Q17" s="159">
        <f t="shared" si="1"/>
        <v>597060</v>
      </c>
      <c r="R17" s="140">
        <v>4000</v>
      </c>
      <c r="S17" s="151">
        <f t="shared" si="2"/>
        <v>154080</v>
      </c>
      <c r="T17" s="142">
        <v>4000</v>
      </c>
      <c r="U17" s="151">
        <f t="shared" si="3"/>
        <v>154080</v>
      </c>
      <c r="V17" s="140">
        <v>3500</v>
      </c>
      <c r="W17" s="151">
        <f t="shared" si="4"/>
        <v>134820</v>
      </c>
      <c r="X17" s="142">
        <v>4000</v>
      </c>
      <c r="Y17" s="151">
        <f t="shared" si="5"/>
        <v>154080</v>
      </c>
      <c r="Z17" s="146"/>
      <c r="AA17" s="155">
        <f t="shared" si="6"/>
        <v>15500</v>
      </c>
      <c r="AB17" s="155">
        <f t="shared" si="7"/>
        <v>0</v>
      </c>
      <c r="AC17" s="149">
        <f t="shared" si="8"/>
        <v>3875</v>
      </c>
      <c r="AD17" s="156">
        <f t="shared" si="9"/>
        <v>149265</v>
      </c>
      <c r="AG17" s="149">
        <v>12880</v>
      </c>
      <c r="AH17" s="149">
        <v>484979.2000000002</v>
      </c>
      <c r="AI17" s="150" t="s">
        <v>1355</v>
      </c>
      <c r="AJ17" s="206">
        <f t="shared" si="11"/>
        <v>15456</v>
      </c>
      <c r="AL17" s="149">
        <f t="shared" si="10"/>
        <v>0</v>
      </c>
    </row>
    <row r="18" spans="1:38" ht="15">
      <c r="A18" s="140">
        <v>10949</v>
      </c>
      <c r="B18" s="140">
        <v>16</v>
      </c>
      <c r="C18" s="146" t="s">
        <v>634</v>
      </c>
      <c r="D18" s="147" t="s">
        <v>633</v>
      </c>
      <c r="E18" s="191" t="s">
        <v>19</v>
      </c>
      <c r="F18" s="153">
        <v>1</v>
      </c>
      <c r="G18" s="154" t="s">
        <v>1251</v>
      </c>
      <c r="H18" s="140">
        <v>60</v>
      </c>
      <c r="I18" s="140" t="s">
        <v>1250</v>
      </c>
      <c r="J18" s="143">
        <v>2470</v>
      </c>
      <c r="K18" s="142">
        <v>1900</v>
      </c>
      <c r="L18" s="142">
        <v>2064</v>
      </c>
      <c r="M18" s="143">
        <v>2250</v>
      </c>
      <c r="N18" s="144">
        <v>750</v>
      </c>
      <c r="O18" s="143">
        <f t="shared" si="0"/>
        <v>1500</v>
      </c>
      <c r="P18" s="140">
        <v>7</v>
      </c>
      <c r="Q18" s="159">
        <f t="shared" si="1"/>
        <v>10500</v>
      </c>
      <c r="R18" s="140">
        <v>0</v>
      </c>
      <c r="S18" s="151">
        <f t="shared" si="2"/>
        <v>0</v>
      </c>
      <c r="T18" s="142">
        <v>500</v>
      </c>
      <c r="U18" s="151">
        <f t="shared" si="3"/>
        <v>3500</v>
      </c>
      <c r="V18" s="140">
        <v>500</v>
      </c>
      <c r="W18" s="151">
        <f t="shared" si="4"/>
        <v>3500</v>
      </c>
      <c r="X18" s="142">
        <v>500</v>
      </c>
      <c r="Y18" s="151">
        <f t="shared" si="5"/>
        <v>3500</v>
      </c>
      <c r="Z18" s="146"/>
      <c r="AA18" s="155">
        <f t="shared" si="6"/>
        <v>1500</v>
      </c>
      <c r="AB18" s="155">
        <f t="shared" si="7"/>
        <v>0</v>
      </c>
      <c r="AC18" s="149">
        <f t="shared" si="8"/>
        <v>375</v>
      </c>
      <c r="AD18" s="156">
        <f t="shared" si="9"/>
        <v>2625</v>
      </c>
      <c r="AG18" s="149">
        <v>1720</v>
      </c>
      <c r="AH18" s="149">
        <v>12040</v>
      </c>
      <c r="AI18" s="150" t="s">
        <v>1356</v>
      </c>
      <c r="AJ18" s="206">
        <f t="shared" si="11"/>
        <v>2064</v>
      </c>
      <c r="AL18" s="149">
        <f t="shared" si="10"/>
        <v>0</v>
      </c>
    </row>
    <row r="19" spans="1:38" ht="15">
      <c r="A19" s="140">
        <v>10949</v>
      </c>
      <c r="B19" s="140">
        <v>17</v>
      </c>
      <c r="C19" s="146" t="s">
        <v>636</v>
      </c>
      <c r="D19" s="147" t="s">
        <v>635</v>
      </c>
      <c r="E19" s="191" t="s">
        <v>20</v>
      </c>
      <c r="F19" s="153">
        <v>1</v>
      </c>
      <c r="G19" s="154" t="s">
        <v>1252</v>
      </c>
      <c r="H19" s="140">
        <v>500</v>
      </c>
      <c r="I19" s="140" t="s">
        <v>1253</v>
      </c>
      <c r="J19" s="143">
        <v>53</v>
      </c>
      <c r="K19" s="142">
        <v>44</v>
      </c>
      <c r="L19" s="142">
        <v>36</v>
      </c>
      <c r="M19" s="143">
        <v>45</v>
      </c>
      <c r="N19" s="144">
        <v>10</v>
      </c>
      <c r="O19" s="143">
        <f t="shared" si="0"/>
        <v>35</v>
      </c>
      <c r="P19" s="140">
        <v>430</v>
      </c>
      <c r="Q19" s="159">
        <f t="shared" si="1"/>
        <v>15050</v>
      </c>
      <c r="R19" s="140">
        <v>0</v>
      </c>
      <c r="S19" s="151">
        <f t="shared" si="2"/>
        <v>0</v>
      </c>
      <c r="T19" s="142">
        <v>10</v>
      </c>
      <c r="U19" s="151">
        <f t="shared" si="3"/>
        <v>4300</v>
      </c>
      <c r="V19" s="140">
        <v>10</v>
      </c>
      <c r="W19" s="151">
        <f t="shared" si="4"/>
        <v>4300</v>
      </c>
      <c r="X19" s="142">
        <v>15</v>
      </c>
      <c r="Y19" s="151">
        <f t="shared" si="5"/>
        <v>6450</v>
      </c>
      <c r="Z19" s="146"/>
      <c r="AA19" s="155">
        <f t="shared" si="6"/>
        <v>35</v>
      </c>
      <c r="AB19" s="155">
        <f t="shared" si="7"/>
        <v>0</v>
      </c>
      <c r="AC19" s="149">
        <f t="shared" si="8"/>
        <v>8.75</v>
      </c>
      <c r="AD19" s="156">
        <f t="shared" si="9"/>
        <v>3762.5</v>
      </c>
      <c r="AG19" s="149">
        <v>30</v>
      </c>
      <c r="AH19" s="149">
        <v>12900</v>
      </c>
      <c r="AI19" s="150" t="s">
        <v>1355</v>
      </c>
      <c r="AJ19" s="206">
        <f t="shared" si="11"/>
        <v>36</v>
      </c>
      <c r="AL19" s="149">
        <f t="shared" si="10"/>
        <v>0</v>
      </c>
    </row>
    <row r="20" spans="1:38" ht="15">
      <c r="A20" s="140">
        <v>10949</v>
      </c>
      <c r="B20" s="140">
        <v>18</v>
      </c>
      <c r="C20" s="146">
        <v>241871</v>
      </c>
      <c r="D20" s="147" t="s">
        <v>637</v>
      </c>
      <c r="E20" s="191" t="s">
        <v>21</v>
      </c>
      <c r="F20" s="153">
        <v>1</v>
      </c>
      <c r="G20" s="154" t="s">
        <v>1252</v>
      </c>
      <c r="H20" s="140">
        <v>500</v>
      </c>
      <c r="I20" s="140" t="s">
        <v>1253</v>
      </c>
      <c r="J20" s="143">
        <v>159</v>
      </c>
      <c r="K20" s="142">
        <v>165</v>
      </c>
      <c r="L20" s="142">
        <v>106.80000000000001</v>
      </c>
      <c r="M20" s="143">
        <v>150</v>
      </c>
      <c r="N20" s="144">
        <v>10</v>
      </c>
      <c r="O20" s="143">
        <f t="shared" si="0"/>
        <v>140</v>
      </c>
      <c r="P20" s="140">
        <v>650</v>
      </c>
      <c r="Q20" s="159">
        <f t="shared" si="1"/>
        <v>91000</v>
      </c>
      <c r="R20" s="140">
        <v>35</v>
      </c>
      <c r="S20" s="151">
        <f t="shared" si="2"/>
        <v>22750</v>
      </c>
      <c r="T20" s="142">
        <v>35</v>
      </c>
      <c r="U20" s="151">
        <f t="shared" si="3"/>
        <v>22750</v>
      </c>
      <c r="V20" s="140">
        <v>35</v>
      </c>
      <c r="W20" s="151">
        <f t="shared" si="4"/>
        <v>22750</v>
      </c>
      <c r="X20" s="142">
        <v>35</v>
      </c>
      <c r="Y20" s="151">
        <f t="shared" si="5"/>
        <v>22750</v>
      </c>
      <c r="Z20" s="146"/>
      <c r="AA20" s="155">
        <f t="shared" si="6"/>
        <v>140</v>
      </c>
      <c r="AB20" s="155">
        <f t="shared" si="7"/>
        <v>0</v>
      </c>
      <c r="AC20" s="149">
        <f t="shared" si="8"/>
        <v>35</v>
      </c>
      <c r="AD20" s="156">
        <f t="shared" si="9"/>
        <v>22750</v>
      </c>
      <c r="AG20" s="149">
        <v>89</v>
      </c>
      <c r="AH20" s="149">
        <v>57850</v>
      </c>
      <c r="AI20" s="150" t="s">
        <v>1355</v>
      </c>
      <c r="AJ20" s="206">
        <f t="shared" si="11"/>
        <v>106.80000000000001</v>
      </c>
      <c r="AL20" s="149">
        <f t="shared" si="10"/>
        <v>0</v>
      </c>
    </row>
    <row r="21" spans="1:38" ht="15">
      <c r="A21" s="140">
        <v>10949</v>
      </c>
      <c r="B21" s="140">
        <v>19</v>
      </c>
      <c r="C21" s="146" t="s">
        <v>639</v>
      </c>
      <c r="D21" s="147" t="s">
        <v>638</v>
      </c>
      <c r="E21" s="191" t="s">
        <v>22</v>
      </c>
      <c r="F21" s="153">
        <v>1</v>
      </c>
      <c r="G21" s="154" t="s">
        <v>1255</v>
      </c>
      <c r="H21" s="140">
        <v>60</v>
      </c>
      <c r="I21" s="140" t="s">
        <v>1250</v>
      </c>
      <c r="J21" s="143">
        <v>3760</v>
      </c>
      <c r="K21" s="142">
        <v>2670</v>
      </c>
      <c r="L21" s="142">
        <v>2088</v>
      </c>
      <c r="M21" s="143">
        <v>3000</v>
      </c>
      <c r="N21" s="144">
        <v>1300</v>
      </c>
      <c r="O21" s="143">
        <f t="shared" si="0"/>
        <v>1700</v>
      </c>
      <c r="P21" s="140">
        <v>12.84</v>
      </c>
      <c r="Q21" s="159">
        <f t="shared" si="1"/>
        <v>21828</v>
      </c>
      <c r="R21" s="140">
        <v>400</v>
      </c>
      <c r="S21" s="151">
        <f t="shared" si="2"/>
        <v>5136</v>
      </c>
      <c r="T21" s="142">
        <v>500</v>
      </c>
      <c r="U21" s="151">
        <f t="shared" si="3"/>
        <v>6420</v>
      </c>
      <c r="V21" s="140">
        <v>400</v>
      </c>
      <c r="W21" s="151">
        <f t="shared" si="4"/>
        <v>5136</v>
      </c>
      <c r="X21" s="142">
        <v>400</v>
      </c>
      <c r="Y21" s="151">
        <f t="shared" si="5"/>
        <v>5136</v>
      </c>
      <c r="Z21" s="146"/>
      <c r="AA21" s="155">
        <f t="shared" si="6"/>
        <v>1700</v>
      </c>
      <c r="AB21" s="155">
        <f t="shared" si="7"/>
        <v>0</v>
      </c>
      <c r="AC21" s="149">
        <f t="shared" si="8"/>
        <v>425</v>
      </c>
      <c r="AD21" s="156">
        <f t="shared" si="9"/>
        <v>5457</v>
      </c>
      <c r="AG21" s="149">
        <v>1740</v>
      </c>
      <c r="AH21" s="149">
        <v>18722.4</v>
      </c>
      <c r="AI21" s="150" t="s">
        <v>1355</v>
      </c>
      <c r="AJ21" s="206">
        <f t="shared" si="11"/>
        <v>2088</v>
      </c>
      <c r="AL21" s="149">
        <f t="shared" si="10"/>
        <v>0</v>
      </c>
    </row>
    <row r="22" spans="1:38" ht="15">
      <c r="A22" s="140">
        <v>10949</v>
      </c>
      <c r="B22" s="140">
        <v>20</v>
      </c>
      <c r="C22" s="146" t="s">
        <v>641</v>
      </c>
      <c r="D22" s="147" t="s">
        <v>640</v>
      </c>
      <c r="E22" s="191" t="s">
        <v>23</v>
      </c>
      <c r="F22" s="153">
        <v>1</v>
      </c>
      <c r="G22" s="154" t="s">
        <v>1256</v>
      </c>
      <c r="H22" s="140">
        <v>1</v>
      </c>
      <c r="I22" s="140" t="s">
        <v>378</v>
      </c>
      <c r="J22" s="140">
        <v>208</v>
      </c>
      <c r="K22" s="142">
        <v>692</v>
      </c>
      <c r="L22" s="142">
        <v>108</v>
      </c>
      <c r="M22" s="143">
        <v>300</v>
      </c>
      <c r="N22" s="144">
        <v>100</v>
      </c>
      <c r="O22" s="143">
        <f t="shared" si="0"/>
        <v>200</v>
      </c>
      <c r="P22" s="140">
        <v>18</v>
      </c>
      <c r="Q22" s="159">
        <f t="shared" si="1"/>
        <v>3600</v>
      </c>
      <c r="R22" s="140">
        <v>0</v>
      </c>
      <c r="S22" s="151">
        <f t="shared" si="2"/>
        <v>0</v>
      </c>
      <c r="T22" s="142">
        <v>0</v>
      </c>
      <c r="U22" s="151">
        <f t="shared" si="3"/>
        <v>0</v>
      </c>
      <c r="V22" s="140">
        <v>200</v>
      </c>
      <c r="W22" s="151">
        <f t="shared" si="4"/>
        <v>3600</v>
      </c>
      <c r="X22" s="142">
        <v>0</v>
      </c>
      <c r="Y22" s="151">
        <f t="shared" si="5"/>
        <v>0</v>
      </c>
      <c r="Z22" s="146"/>
      <c r="AA22" s="155">
        <f t="shared" si="6"/>
        <v>200</v>
      </c>
      <c r="AB22" s="155">
        <f t="shared" si="7"/>
        <v>0</v>
      </c>
      <c r="AC22" s="149">
        <f t="shared" si="8"/>
        <v>50</v>
      </c>
      <c r="AD22" s="156">
        <f t="shared" si="9"/>
        <v>900</v>
      </c>
      <c r="AG22" s="149">
        <v>90</v>
      </c>
      <c r="AH22" s="149">
        <v>1350</v>
      </c>
      <c r="AI22" s="150" t="s">
        <v>1352</v>
      </c>
      <c r="AJ22" s="206">
        <f t="shared" si="11"/>
        <v>108</v>
      </c>
      <c r="AL22" s="149">
        <f t="shared" si="10"/>
        <v>0</v>
      </c>
    </row>
    <row r="23" spans="1:38" ht="15">
      <c r="A23" s="140">
        <v>10949</v>
      </c>
      <c r="B23" s="140">
        <v>21</v>
      </c>
      <c r="C23" s="146" t="s">
        <v>643</v>
      </c>
      <c r="D23" s="147" t="s">
        <v>642</v>
      </c>
      <c r="E23" s="191" t="s">
        <v>24</v>
      </c>
      <c r="F23" s="153">
        <v>1</v>
      </c>
      <c r="G23" s="154" t="s">
        <v>1256</v>
      </c>
      <c r="H23" s="140">
        <v>1</v>
      </c>
      <c r="I23" s="140" t="s">
        <v>378</v>
      </c>
      <c r="J23" s="143">
        <v>100</v>
      </c>
      <c r="K23" s="142">
        <v>200</v>
      </c>
      <c r="L23" s="142">
        <v>0</v>
      </c>
      <c r="M23" s="143">
        <v>100</v>
      </c>
      <c r="N23" s="144">
        <v>200</v>
      </c>
      <c r="O23" s="143">
        <v>0</v>
      </c>
      <c r="P23" s="140">
        <v>8.3375</v>
      </c>
      <c r="Q23" s="159">
        <f t="shared" si="1"/>
        <v>0</v>
      </c>
      <c r="R23" s="140">
        <v>0</v>
      </c>
      <c r="S23" s="151">
        <f t="shared" si="2"/>
        <v>0</v>
      </c>
      <c r="T23" s="142">
        <v>0</v>
      </c>
      <c r="U23" s="151">
        <f t="shared" si="3"/>
        <v>0</v>
      </c>
      <c r="V23" s="140">
        <v>0</v>
      </c>
      <c r="W23" s="151">
        <f t="shared" si="4"/>
        <v>0</v>
      </c>
      <c r="X23" s="142">
        <v>0</v>
      </c>
      <c r="Y23" s="151">
        <f t="shared" si="5"/>
        <v>0</v>
      </c>
      <c r="Z23" s="146"/>
      <c r="AA23" s="155">
        <f t="shared" si="6"/>
        <v>0</v>
      </c>
      <c r="AB23" s="155">
        <f t="shared" si="7"/>
        <v>0</v>
      </c>
      <c r="AC23" s="149">
        <f t="shared" si="8"/>
        <v>0</v>
      </c>
      <c r="AD23" s="156">
        <f t="shared" si="9"/>
        <v>0</v>
      </c>
      <c r="AI23" s="150" t="s">
        <v>1352</v>
      </c>
      <c r="AJ23" s="206">
        <f t="shared" si="11"/>
        <v>0</v>
      </c>
      <c r="AL23" s="149">
        <f t="shared" si="10"/>
        <v>0</v>
      </c>
    </row>
    <row r="24" spans="1:38" ht="15">
      <c r="A24" s="140">
        <v>10949</v>
      </c>
      <c r="B24" s="140">
        <v>22</v>
      </c>
      <c r="C24" s="146" t="s">
        <v>645</v>
      </c>
      <c r="D24" s="147" t="s">
        <v>644</v>
      </c>
      <c r="E24" s="191" t="s">
        <v>25</v>
      </c>
      <c r="F24" s="153">
        <v>1</v>
      </c>
      <c r="G24" s="154" t="s">
        <v>1256</v>
      </c>
      <c r="H24" s="140">
        <v>1</v>
      </c>
      <c r="I24" s="140" t="s">
        <v>378</v>
      </c>
      <c r="J24" s="140">
        <v>0</v>
      </c>
      <c r="K24" s="142">
        <v>200</v>
      </c>
      <c r="L24" s="142">
        <v>19.200000000000003</v>
      </c>
      <c r="M24" s="143">
        <v>100</v>
      </c>
      <c r="N24" s="144">
        <v>234</v>
      </c>
      <c r="O24" s="143">
        <v>0</v>
      </c>
      <c r="P24" s="140">
        <v>14.5</v>
      </c>
      <c r="Q24" s="159">
        <f t="shared" si="1"/>
        <v>0</v>
      </c>
      <c r="R24" s="140">
        <v>0</v>
      </c>
      <c r="S24" s="151">
        <f t="shared" si="2"/>
        <v>0</v>
      </c>
      <c r="T24" s="142">
        <v>0</v>
      </c>
      <c r="U24" s="151">
        <f t="shared" si="3"/>
        <v>0</v>
      </c>
      <c r="V24" s="140">
        <v>0</v>
      </c>
      <c r="W24" s="151">
        <f t="shared" si="4"/>
        <v>0</v>
      </c>
      <c r="X24" s="142">
        <v>0</v>
      </c>
      <c r="Y24" s="151">
        <f t="shared" si="5"/>
        <v>0</v>
      </c>
      <c r="Z24" s="146"/>
      <c r="AA24" s="155">
        <f t="shared" si="6"/>
        <v>0</v>
      </c>
      <c r="AB24" s="155">
        <f t="shared" si="7"/>
        <v>0</v>
      </c>
      <c r="AC24" s="149">
        <f t="shared" si="8"/>
        <v>0</v>
      </c>
      <c r="AD24" s="156">
        <f t="shared" si="9"/>
        <v>0</v>
      </c>
      <c r="AG24" s="149">
        <v>16</v>
      </c>
      <c r="AH24" s="149">
        <v>192</v>
      </c>
      <c r="AI24" s="150" t="s">
        <v>1352</v>
      </c>
      <c r="AJ24" s="206">
        <f t="shared" si="11"/>
        <v>19.200000000000003</v>
      </c>
      <c r="AL24" s="149">
        <f t="shared" si="10"/>
        <v>0</v>
      </c>
    </row>
    <row r="25" spans="1:38" ht="15">
      <c r="A25" s="140">
        <v>10949</v>
      </c>
      <c r="B25" s="140">
        <v>23</v>
      </c>
      <c r="C25" s="146" t="s">
        <v>1185</v>
      </c>
      <c r="D25" s="147" t="s">
        <v>1184</v>
      </c>
      <c r="E25" s="191" t="s">
        <v>1400</v>
      </c>
      <c r="F25" s="153">
        <v>2</v>
      </c>
      <c r="G25" s="154" t="s">
        <v>1247</v>
      </c>
      <c r="H25" s="140">
        <v>30</v>
      </c>
      <c r="I25" s="140" t="s">
        <v>1238</v>
      </c>
      <c r="J25" s="140">
        <v>13460</v>
      </c>
      <c r="K25" s="142">
        <v>12570</v>
      </c>
      <c r="L25" s="142">
        <v>10951.2</v>
      </c>
      <c r="M25" s="143">
        <v>12000</v>
      </c>
      <c r="N25" s="144">
        <v>2000</v>
      </c>
      <c r="O25" s="143">
        <f t="shared" si="0"/>
        <v>10000</v>
      </c>
      <c r="P25" s="140">
        <v>8.44</v>
      </c>
      <c r="Q25" s="159">
        <f t="shared" si="1"/>
        <v>84400</v>
      </c>
      <c r="R25" s="140">
        <v>2500</v>
      </c>
      <c r="S25" s="151">
        <f t="shared" si="2"/>
        <v>21100</v>
      </c>
      <c r="T25" s="142">
        <v>2500</v>
      </c>
      <c r="U25" s="151">
        <f t="shared" si="3"/>
        <v>21100</v>
      </c>
      <c r="V25" s="140">
        <v>2500</v>
      </c>
      <c r="W25" s="151">
        <f t="shared" si="4"/>
        <v>21100</v>
      </c>
      <c r="X25" s="142">
        <v>2500</v>
      </c>
      <c r="Y25" s="151">
        <f t="shared" si="5"/>
        <v>21100</v>
      </c>
      <c r="Z25" s="146"/>
      <c r="AA25" s="155">
        <f t="shared" si="6"/>
        <v>10000</v>
      </c>
      <c r="AB25" s="155">
        <f t="shared" si="7"/>
        <v>0</v>
      </c>
      <c r="AC25" s="149">
        <f t="shared" si="8"/>
        <v>2500</v>
      </c>
      <c r="AD25" s="156">
        <f t="shared" si="9"/>
        <v>21100</v>
      </c>
      <c r="AG25" s="149">
        <v>9126</v>
      </c>
      <c r="AH25" s="149">
        <v>64368</v>
      </c>
      <c r="AI25" s="150" t="s">
        <v>1358</v>
      </c>
      <c r="AJ25" s="206">
        <f t="shared" si="11"/>
        <v>10951.2</v>
      </c>
      <c r="AL25" s="149">
        <f t="shared" si="10"/>
        <v>0</v>
      </c>
    </row>
    <row r="26" spans="1:38" ht="15">
      <c r="A26" s="140">
        <v>10949</v>
      </c>
      <c r="B26" s="140">
        <v>24</v>
      </c>
      <c r="C26" s="146"/>
      <c r="D26" s="147"/>
      <c r="E26" s="191" t="s">
        <v>213</v>
      </c>
      <c r="F26" s="153">
        <v>1</v>
      </c>
      <c r="G26" s="154" t="s">
        <v>1249</v>
      </c>
      <c r="H26" s="140">
        <v>240</v>
      </c>
      <c r="I26" s="140" t="s">
        <v>1250</v>
      </c>
      <c r="J26" s="140">
        <v>7818</v>
      </c>
      <c r="K26" s="142">
        <v>8022</v>
      </c>
      <c r="L26" s="142">
        <v>7992</v>
      </c>
      <c r="M26" s="143">
        <v>8300</v>
      </c>
      <c r="N26" s="144">
        <v>2300</v>
      </c>
      <c r="O26" s="143">
        <f t="shared" si="0"/>
        <v>6000</v>
      </c>
      <c r="P26" s="140">
        <v>14</v>
      </c>
      <c r="Q26" s="159">
        <f t="shared" si="1"/>
        <v>84000</v>
      </c>
      <c r="R26" s="140">
        <v>1500</v>
      </c>
      <c r="S26" s="151">
        <f t="shared" si="2"/>
        <v>21000</v>
      </c>
      <c r="T26" s="142">
        <v>1500</v>
      </c>
      <c r="U26" s="151">
        <f t="shared" si="3"/>
        <v>21000</v>
      </c>
      <c r="V26" s="140">
        <v>1500</v>
      </c>
      <c r="W26" s="151">
        <f t="shared" si="4"/>
        <v>21000</v>
      </c>
      <c r="X26" s="142">
        <v>1500</v>
      </c>
      <c r="Y26" s="151">
        <f t="shared" si="5"/>
        <v>21000</v>
      </c>
      <c r="Z26" s="146"/>
      <c r="AA26" s="155">
        <f t="shared" si="6"/>
        <v>6000</v>
      </c>
      <c r="AB26" s="155">
        <f t="shared" si="7"/>
        <v>0</v>
      </c>
      <c r="AC26" s="149">
        <f t="shared" si="8"/>
        <v>1500</v>
      </c>
      <c r="AD26" s="156">
        <f t="shared" si="9"/>
        <v>21000</v>
      </c>
      <c r="AG26" s="149">
        <v>6660</v>
      </c>
      <c r="AH26" s="149">
        <v>93240</v>
      </c>
      <c r="AI26" s="150" t="s">
        <v>1358</v>
      </c>
      <c r="AJ26" s="206">
        <f t="shared" si="11"/>
        <v>7992</v>
      </c>
      <c r="AL26" s="149">
        <f t="shared" si="10"/>
        <v>0</v>
      </c>
    </row>
    <row r="27" spans="1:38" ht="15">
      <c r="A27" s="140">
        <v>10949</v>
      </c>
      <c r="B27" s="140">
        <v>25</v>
      </c>
      <c r="C27" s="146" t="s">
        <v>1187</v>
      </c>
      <c r="D27" s="147" t="s">
        <v>1186</v>
      </c>
      <c r="E27" s="191" t="s">
        <v>379</v>
      </c>
      <c r="F27" s="153">
        <v>1</v>
      </c>
      <c r="G27" s="154" t="s">
        <v>1257</v>
      </c>
      <c r="H27" s="140">
        <v>1</v>
      </c>
      <c r="I27" s="140" t="s">
        <v>388</v>
      </c>
      <c r="J27" s="143">
        <v>2400</v>
      </c>
      <c r="K27" s="142">
        <v>2748</v>
      </c>
      <c r="L27" s="142">
        <v>2174.3999999999996</v>
      </c>
      <c r="M27" s="143">
        <v>2500</v>
      </c>
      <c r="N27" s="144">
        <v>500</v>
      </c>
      <c r="O27" s="143">
        <f t="shared" si="0"/>
        <v>2000</v>
      </c>
      <c r="P27" s="140">
        <v>12</v>
      </c>
      <c r="Q27" s="159">
        <f t="shared" si="1"/>
        <v>24000</v>
      </c>
      <c r="R27" s="140">
        <v>500</v>
      </c>
      <c r="S27" s="151">
        <f t="shared" si="2"/>
        <v>6000</v>
      </c>
      <c r="T27" s="142">
        <v>500</v>
      </c>
      <c r="U27" s="151">
        <f t="shared" si="3"/>
        <v>6000</v>
      </c>
      <c r="V27" s="140">
        <v>500</v>
      </c>
      <c r="W27" s="151">
        <f t="shared" si="4"/>
        <v>6000</v>
      </c>
      <c r="X27" s="142">
        <v>500</v>
      </c>
      <c r="Y27" s="151">
        <f t="shared" si="5"/>
        <v>6000</v>
      </c>
      <c r="Z27" s="146"/>
      <c r="AA27" s="155">
        <f t="shared" si="6"/>
        <v>2000</v>
      </c>
      <c r="AB27" s="155">
        <f t="shared" si="7"/>
        <v>0</v>
      </c>
      <c r="AC27" s="149">
        <f t="shared" si="8"/>
        <v>500</v>
      </c>
      <c r="AD27" s="156">
        <f t="shared" si="9"/>
        <v>6000</v>
      </c>
      <c r="AG27" s="149">
        <v>1812</v>
      </c>
      <c r="AH27" s="149">
        <v>21562.799999999967</v>
      </c>
      <c r="AJ27" s="206">
        <f t="shared" si="11"/>
        <v>2174.3999999999996</v>
      </c>
      <c r="AL27" s="149">
        <f t="shared" si="10"/>
        <v>0</v>
      </c>
    </row>
    <row r="28" spans="1:38" ht="15">
      <c r="A28" s="140">
        <v>10949</v>
      </c>
      <c r="B28" s="140">
        <v>26</v>
      </c>
      <c r="C28" s="146" t="s">
        <v>647</v>
      </c>
      <c r="D28" s="147" t="s">
        <v>646</v>
      </c>
      <c r="E28" s="191" t="s">
        <v>26</v>
      </c>
      <c r="F28" s="153">
        <v>1</v>
      </c>
      <c r="G28" s="154" t="s">
        <v>1257</v>
      </c>
      <c r="H28" s="140">
        <v>450</v>
      </c>
      <c r="I28" s="140" t="s">
        <v>1250</v>
      </c>
      <c r="J28" s="140">
        <v>174</v>
      </c>
      <c r="K28" s="142">
        <v>223</v>
      </c>
      <c r="L28" s="142">
        <v>201.60000000000002</v>
      </c>
      <c r="M28" s="143">
        <v>210</v>
      </c>
      <c r="N28" s="144">
        <v>10</v>
      </c>
      <c r="O28" s="143">
        <f t="shared" si="0"/>
        <v>200</v>
      </c>
      <c r="P28" s="140">
        <v>75</v>
      </c>
      <c r="Q28" s="159">
        <f t="shared" si="1"/>
        <v>15000</v>
      </c>
      <c r="R28" s="140">
        <v>100</v>
      </c>
      <c r="S28" s="151">
        <f t="shared" si="2"/>
        <v>7500</v>
      </c>
      <c r="T28" s="142">
        <v>0</v>
      </c>
      <c r="U28" s="151">
        <f t="shared" si="3"/>
        <v>0</v>
      </c>
      <c r="V28" s="140">
        <v>100</v>
      </c>
      <c r="W28" s="151">
        <f t="shared" si="4"/>
        <v>7500</v>
      </c>
      <c r="X28" s="142">
        <v>0</v>
      </c>
      <c r="Y28" s="151">
        <f t="shared" si="5"/>
        <v>0</v>
      </c>
      <c r="Z28" s="146"/>
      <c r="AA28" s="155">
        <f t="shared" si="6"/>
        <v>200</v>
      </c>
      <c r="AB28" s="155">
        <f t="shared" si="7"/>
        <v>0</v>
      </c>
      <c r="AC28" s="149">
        <f t="shared" si="8"/>
        <v>50</v>
      </c>
      <c r="AD28" s="156">
        <f t="shared" si="9"/>
        <v>3750</v>
      </c>
      <c r="AG28" s="149">
        <v>168</v>
      </c>
      <c r="AH28" s="149">
        <v>12600</v>
      </c>
      <c r="AI28" s="150" t="s">
        <v>1356</v>
      </c>
      <c r="AJ28" s="206">
        <f t="shared" si="11"/>
        <v>201.60000000000002</v>
      </c>
      <c r="AL28" s="149">
        <f t="shared" si="10"/>
        <v>0</v>
      </c>
    </row>
    <row r="29" spans="1:36" ht="15">
      <c r="A29" s="140">
        <v>10949</v>
      </c>
      <c r="B29" s="140">
        <v>27</v>
      </c>
      <c r="C29" s="146" t="s">
        <v>649</v>
      </c>
      <c r="D29" s="147" t="s">
        <v>648</v>
      </c>
      <c r="E29" s="191" t="s">
        <v>1414</v>
      </c>
      <c r="F29" s="153">
        <v>2</v>
      </c>
      <c r="G29" s="154" t="s">
        <v>1245</v>
      </c>
      <c r="H29" s="140">
        <v>9</v>
      </c>
      <c r="I29" s="140" t="s">
        <v>376</v>
      </c>
      <c r="J29" s="140">
        <v>20</v>
      </c>
      <c r="K29" s="142">
        <v>0</v>
      </c>
      <c r="L29" s="142">
        <v>0</v>
      </c>
      <c r="M29" s="143">
        <v>0</v>
      </c>
      <c r="N29" s="144">
        <v>0</v>
      </c>
      <c r="O29" s="143">
        <f t="shared" si="0"/>
        <v>0</v>
      </c>
      <c r="P29" s="140">
        <v>320</v>
      </c>
      <c r="Q29" s="159">
        <f t="shared" si="1"/>
        <v>0</v>
      </c>
      <c r="R29" s="140">
        <v>0</v>
      </c>
      <c r="S29" s="151">
        <f t="shared" si="2"/>
        <v>0</v>
      </c>
      <c r="T29" s="142">
        <v>0</v>
      </c>
      <c r="U29" s="151">
        <f t="shared" si="3"/>
        <v>0</v>
      </c>
      <c r="V29" s="140">
        <v>0</v>
      </c>
      <c r="W29" s="151">
        <f t="shared" si="4"/>
        <v>0</v>
      </c>
      <c r="X29" s="142">
        <v>0</v>
      </c>
      <c r="Y29" s="151">
        <f t="shared" si="5"/>
        <v>0</v>
      </c>
      <c r="Z29" s="146"/>
      <c r="AA29" s="155">
        <f t="shared" si="6"/>
        <v>0</v>
      </c>
      <c r="AB29" s="155">
        <f t="shared" si="7"/>
        <v>0</v>
      </c>
      <c r="AD29" s="156"/>
      <c r="AJ29" s="206">
        <f t="shared" si="11"/>
        <v>0</v>
      </c>
    </row>
    <row r="30" spans="1:38" ht="15">
      <c r="A30" s="140">
        <v>10949</v>
      </c>
      <c r="B30" s="140">
        <v>28</v>
      </c>
      <c r="C30" s="146" t="s">
        <v>655</v>
      </c>
      <c r="D30" s="147" t="s">
        <v>654</v>
      </c>
      <c r="E30" s="191" t="s">
        <v>465</v>
      </c>
      <c r="F30" s="153">
        <v>1</v>
      </c>
      <c r="G30" s="154" t="s">
        <v>1245</v>
      </c>
      <c r="H30" s="144">
        <v>1000</v>
      </c>
      <c r="I30" s="144" t="s">
        <v>376</v>
      </c>
      <c r="J30" s="140">
        <v>325</v>
      </c>
      <c r="K30" s="142">
        <v>336</v>
      </c>
      <c r="L30" s="142">
        <v>284.4</v>
      </c>
      <c r="M30" s="143">
        <v>320</v>
      </c>
      <c r="N30" s="144">
        <v>0</v>
      </c>
      <c r="O30" s="143">
        <f t="shared" si="0"/>
        <v>320</v>
      </c>
      <c r="P30" s="140">
        <v>200</v>
      </c>
      <c r="Q30" s="159">
        <f t="shared" si="1"/>
        <v>64000</v>
      </c>
      <c r="R30" s="140">
        <v>80</v>
      </c>
      <c r="S30" s="151">
        <f t="shared" si="2"/>
        <v>16000</v>
      </c>
      <c r="T30" s="142">
        <v>80</v>
      </c>
      <c r="U30" s="151">
        <f t="shared" si="3"/>
        <v>16000</v>
      </c>
      <c r="V30" s="140">
        <v>80</v>
      </c>
      <c r="W30" s="151">
        <f t="shared" si="4"/>
        <v>16000</v>
      </c>
      <c r="X30" s="142">
        <v>80</v>
      </c>
      <c r="Y30" s="151">
        <f t="shared" si="5"/>
        <v>16000</v>
      </c>
      <c r="Z30" s="146"/>
      <c r="AA30" s="155">
        <f t="shared" si="6"/>
        <v>320</v>
      </c>
      <c r="AB30" s="155">
        <f t="shared" si="7"/>
        <v>0</v>
      </c>
      <c r="AC30" s="149">
        <f>O30/4</f>
        <v>80</v>
      </c>
      <c r="AD30" s="156">
        <f aca="true" t="shared" si="12" ref="AD30:AD62">Q30/4</f>
        <v>16000</v>
      </c>
      <c r="AG30" s="149">
        <v>237</v>
      </c>
      <c r="AH30" s="149">
        <v>38482</v>
      </c>
      <c r="AI30" s="150" t="s">
        <v>1355</v>
      </c>
      <c r="AJ30" s="206">
        <f t="shared" si="11"/>
        <v>284.4</v>
      </c>
      <c r="AL30" s="149">
        <f>AK30/H30</f>
        <v>0</v>
      </c>
    </row>
    <row r="31" spans="1:38" ht="15">
      <c r="A31" s="140">
        <v>10949</v>
      </c>
      <c r="B31" s="140">
        <v>29</v>
      </c>
      <c r="C31" s="146" t="s">
        <v>657</v>
      </c>
      <c r="D31" s="147" t="s">
        <v>656</v>
      </c>
      <c r="E31" s="191" t="s">
        <v>27</v>
      </c>
      <c r="F31" s="153">
        <v>1</v>
      </c>
      <c r="G31" s="154" t="s">
        <v>1245</v>
      </c>
      <c r="H31" s="140">
        <v>500</v>
      </c>
      <c r="I31" s="140" t="s">
        <v>376</v>
      </c>
      <c r="J31" s="140">
        <v>10</v>
      </c>
      <c r="K31" s="142">
        <v>1</v>
      </c>
      <c r="L31" s="142">
        <v>2.4000000000000004</v>
      </c>
      <c r="M31" s="143">
        <v>4</v>
      </c>
      <c r="N31" s="144">
        <v>4</v>
      </c>
      <c r="O31" s="143">
        <f t="shared" si="0"/>
        <v>0</v>
      </c>
      <c r="P31" s="140">
        <v>180</v>
      </c>
      <c r="Q31" s="159">
        <f t="shared" si="1"/>
        <v>0</v>
      </c>
      <c r="R31" s="140">
        <v>0</v>
      </c>
      <c r="S31" s="151">
        <f t="shared" si="2"/>
        <v>0</v>
      </c>
      <c r="T31" s="142">
        <v>0</v>
      </c>
      <c r="U31" s="151">
        <f t="shared" si="3"/>
        <v>0</v>
      </c>
      <c r="V31" s="140">
        <v>0</v>
      </c>
      <c r="W31" s="151">
        <f t="shared" si="4"/>
        <v>0</v>
      </c>
      <c r="X31" s="142">
        <v>0</v>
      </c>
      <c r="Y31" s="151">
        <f t="shared" si="5"/>
        <v>0</v>
      </c>
      <c r="Z31" s="146"/>
      <c r="AA31" s="155">
        <f t="shared" si="6"/>
        <v>0</v>
      </c>
      <c r="AB31" s="155">
        <f t="shared" si="7"/>
        <v>0</v>
      </c>
      <c r="AC31" s="149">
        <f>O31/4</f>
        <v>0</v>
      </c>
      <c r="AD31" s="156">
        <f t="shared" si="12"/>
        <v>0</v>
      </c>
      <c r="AG31" s="149">
        <v>2</v>
      </c>
      <c r="AH31" s="149">
        <v>360</v>
      </c>
      <c r="AI31" s="150" t="s">
        <v>1300</v>
      </c>
      <c r="AJ31" s="206">
        <f t="shared" si="11"/>
        <v>2.4000000000000004</v>
      </c>
      <c r="AL31" s="149">
        <f>AK31/H31</f>
        <v>0</v>
      </c>
    </row>
    <row r="32" spans="1:38" ht="15">
      <c r="A32" s="140">
        <v>10949</v>
      </c>
      <c r="B32" s="140">
        <v>30</v>
      </c>
      <c r="C32" s="146" t="s">
        <v>659</v>
      </c>
      <c r="D32" s="147" t="s">
        <v>658</v>
      </c>
      <c r="E32" s="191" t="s">
        <v>28</v>
      </c>
      <c r="F32" s="153">
        <v>1</v>
      </c>
      <c r="G32" s="154" t="s">
        <v>1245</v>
      </c>
      <c r="H32" s="140">
        <v>500</v>
      </c>
      <c r="I32" s="140" t="s">
        <v>376</v>
      </c>
      <c r="J32" s="140">
        <v>145</v>
      </c>
      <c r="K32" s="142">
        <v>156</v>
      </c>
      <c r="L32" s="142">
        <v>129.60000000000002</v>
      </c>
      <c r="M32" s="143">
        <v>150</v>
      </c>
      <c r="N32" s="144">
        <v>30</v>
      </c>
      <c r="O32" s="143">
        <f t="shared" si="0"/>
        <v>120</v>
      </c>
      <c r="P32" s="140">
        <v>225</v>
      </c>
      <c r="Q32" s="159">
        <f t="shared" si="1"/>
        <v>27000</v>
      </c>
      <c r="R32" s="140">
        <v>30</v>
      </c>
      <c r="S32" s="151">
        <f t="shared" si="2"/>
        <v>6750</v>
      </c>
      <c r="T32" s="142">
        <v>30</v>
      </c>
      <c r="U32" s="151">
        <f t="shared" si="3"/>
        <v>6750</v>
      </c>
      <c r="V32" s="140">
        <v>30</v>
      </c>
      <c r="W32" s="151">
        <f t="shared" si="4"/>
        <v>6750</v>
      </c>
      <c r="X32" s="142">
        <v>30</v>
      </c>
      <c r="Y32" s="151">
        <f t="shared" si="5"/>
        <v>6750</v>
      </c>
      <c r="Z32" s="146"/>
      <c r="AA32" s="155">
        <f t="shared" si="6"/>
        <v>120</v>
      </c>
      <c r="AB32" s="155">
        <f t="shared" si="7"/>
        <v>0</v>
      </c>
      <c r="AC32" s="149">
        <f>O32/4</f>
        <v>30</v>
      </c>
      <c r="AD32" s="156">
        <f t="shared" si="12"/>
        <v>6750</v>
      </c>
      <c r="AG32" s="149">
        <v>108</v>
      </c>
      <c r="AH32" s="149">
        <v>22680</v>
      </c>
      <c r="AI32" s="150" t="s">
        <v>1356</v>
      </c>
      <c r="AJ32" s="206">
        <f t="shared" si="11"/>
        <v>129.60000000000002</v>
      </c>
      <c r="AL32" s="149">
        <f>AK32/H32</f>
        <v>0</v>
      </c>
    </row>
    <row r="33" spans="1:38" ht="15">
      <c r="A33" s="140">
        <v>10949</v>
      </c>
      <c r="B33" s="140">
        <v>31</v>
      </c>
      <c r="C33" s="146" t="s">
        <v>661</v>
      </c>
      <c r="D33" s="147" t="s">
        <v>660</v>
      </c>
      <c r="E33" s="191" t="s">
        <v>382</v>
      </c>
      <c r="F33" s="153">
        <v>1</v>
      </c>
      <c r="G33" s="154" t="s">
        <v>1248</v>
      </c>
      <c r="H33" s="140">
        <v>1</v>
      </c>
      <c r="I33" s="140" t="s">
        <v>377</v>
      </c>
      <c r="J33" s="140">
        <v>20</v>
      </c>
      <c r="K33" s="142">
        <v>22</v>
      </c>
      <c r="L33" s="142">
        <v>39.599999999999994</v>
      </c>
      <c r="M33" s="143">
        <v>50</v>
      </c>
      <c r="N33" s="144">
        <v>75</v>
      </c>
      <c r="O33" s="143">
        <v>0</v>
      </c>
      <c r="P33" s="140">
        <v>4.5575</v>
      </c>
      <c r="Q33" s="159">
        <f t="shared" si="1"/>
        <v>0</v>
      </c>
      <c r="R33" s="140">
        <v>0</v>
      </c>
      <c r="S33" s="151">
        <f t="shared" si="2"/>
        <v>0</v>
      </c>
      <c r="T33" s="142">
        <v>0</v>
      </c>
      <c r="U33" s="151">
        <f t="shared" si="3"/>
        <v>0</v>
      </c>
      <c r="V33" s="140">
        <v>0</v>
      </c>
      <c r="W33" s="151">
        <f t="shared" si="4"/>
        <v>0</v>
      </c>
      <c r="X33" s="142">
        <v>0</v>
      </c>
      <c r="Y33" s="151">
        <f t="shared" si="5"/>
        <v>0</v>
      </c>
      <c r="Z33" s="146"/>
      <c r="AA33" s="155">
        <f t="shared" si="6"/>
        <v>0</v>
      </c>
      <c r="AB33" s="155">
        <f t="shared" si="7"/>
        <v>0</v>
      </c>
      <c r="AC33" s="149">
        <f>O33/4</f>
        <v>0</v>
      </c>
      <c r="AD33" s="156">
        <f t="shared" si="12"/>
        <v>0</v>
      </c>
      <c r="AG33" s="149">
        <v>33</v>
      </c>
      <c r="AH33" s="149">
        <v>151.75</v>
      </c>
      <c r="AJ33" s="206">
        <f t="shared" si="11"/>
        <v>39.599999999999994</v>
      </c>
      <c r="AL33" s="149">
        <f>AK33/H33</f>
        <v>0</v>
      </c>
    </row>
    <row r="34" spans="1:38" ht="15">
      <c r="A34" s="130" t="s">
        <v>1199</v>
      </c>
      <c r="B34" s="130" t="s">
        <v>2</v>
      </c>
      <c r="C34" s="130" t="s">
        <v>1200</v>
      </c>
      <c r="D34" s="198" t="s">
        <v>1201</v>
      </c>
      <c r="E34" s="134" t="s">
        <v>1285</v>
      </c>
      <c r="F34" s="134" t="s">
        <v>1295</v>
      </c>
      <c r="G34" s="134" t="s">
        <v>1202</v>
      </c>
      <c r="H34" s="130" t="s">
        <v>1579</v>
      </c>
      <c r="I34" s="130" t="s">
        <v>1203</v>
      </c>
      <c r="J34" s="199"/>
      <c r="K34" s="131" t="s">
        <v>1205</v>
      </c>
      <c r="L34" s="132"/>
      <c r="M34" s="133" t="s">
        <v>0</v>
      </c>
      <c r="N34" s="134" t="s">
        <v>1214</v>
      </c>
      <c r="O34" s="133" t="s">
        <v>0</v>
      </c>
      <c r="P34" s="130" t="s">
        <v>1390</v>
      </c>
      <c r="Q34" s="200" t="s">
        <v>1206</v>
      </c>
      <c r="R34" s="201" t="s">
        <v>1289</v>
      </c>
      <c r="S34" s="132"/>
      <c r="T34" s="201" t="s">
        <v>1290</v>
      </c>
      <c r="U34" s="202"/>
      <c r="V34" s="201" t="s">
        <v>1291</v>
      </c>
      <c r="W34" s="132"/>
      <c r="X34" s="201" t="s">
        <v>1292</v>
      </c>
      <c r="Y34" s="202"/>
      <c r="Z34" s="203" t="s">
        <v>608</v>
      </c>
      <c r="AA34" s="204"/>
      <c r="AB34" s="204"/>
      <c r="AC34" s="149" t="s">
        <v>1318</v>
      </c>
      <c r="AD34" s="149" t="s">
        <v>1389</v>
      </c>
      <c r="AE34" s="205" t="s">
        <v>3</v>
      </c>
      <c r="AF34" s="205" t="s">
        <v>1349</v>
      </c>
      <c r="AG34" s="149" t="s">
        <v>1297</v>
      </c>
      <c r="AH34" s="149" t="s">
        <v>6</v>
      </c>
      <c r="AI34" s="150" t="s">
        <v>1307</v>
      </c>
      <c r="AJ34" s="206" t="s">
        <v>1303</v>
      </c>
      <c r="AK34" s="149" t="s">
        <v>4</v>
      </c>
      <c r="AL34" s="149" t="s">
        <v>1304</v>
      </c>
    </row>
    <row r="35" spans="1:35" ht="15">
      <c r="A35" s="135"/>
      <c r="B35" s="139"/>
      <c r="C35" s="207"/>
      <c r="D35" s="208"/>
      <c r="E35" s="136"/>
      <c r="F35" s="136" t="s">
        <v>1294</v>
      </c>
      <c r="G35" s="136"/>
      <c r="H35" s="139" t="s">
        <v>1204</v>
      </c>
      <c r="I35" s="136" t="s">
        <v>1204</v>
      </c>
      <c r="J35" s="136">
        <v>2562</v>
      </c>
      <c r="K35" s="136">
        <v>2563</v>
      </c>
      <c r="L35" s="137">
        <v>2564</v>
      </c>
      <c r="M35" s="138" t="s">
        <v>1537</v>
      </c>
      <c r="N35" s="136" t="s">
        <v>4</v>
      </c>
      <c r="O35" s="138" t="s">
        <v>1538</v>
      </c>
      <c r="P35" s="139" t="s">
        <v>1286</v>
      </c>
      <c r="Q35" s="209" t="s">
        <v>1391</v>
      </c>
      <c r="R35" s="210" t="s">
        <v>5</v>
      </c>
      <c r="S35" s="139" t="s">
        <v>1208</v>
      </c>
      <c r="T35" s="139" t="s">
        <v>5</v>
      </c>
      <c r="U35" s="211" t="s">
        <v>1208</v>
      </c>
      <c r="V35" s="210" t="s">
        <v>5</v>
      </c>
      <c r="W35" s="139" t="s">
        <v>1208</v>
      </c>
      <c r="X35" s="139" t="s">
        <v>5</v>
      </c>
      <c r="Y35" s="211" t="s">
        <v>1208</v>
      </c>
      <c r="Z35" s="207"/>
      <c r="AA35" s="197"/>
      <c r="AB35" s="197"/>
      <c r="AG35" s="149" t="s">
        <v>1494</v>
      </c>
      <c r="AH35" s="149" t="s">
        <v>1207</v>
      </c>
      <c r="AI35" s="150" t="s">
        <v>1308</v>
      </c>
    </row>
    <row r="36" spans="1:36" ht="15">
      <c r="A36" s="140">
        <v>10949</v>
      </c>
      <c r="B36" s="140">
        <v>32</v>
      </c>
      <c r="C36" s="146"/>
      <c r="D36" s="147"/>
      <c r="E36" s="152" t="s">
        <v>1366</v>
      </c>
      <c r="F36" s="140">
        <v>1</v>
      </c>
      <c r="G36" s="146" t="s">
        <v>1245</v>
      </c>
      <c r="H36" s="140">
        <v>60</v>
      </c>
      <c r="I36" s="140" t="s">
        <v>376</v>
      </c>
      <c r="J36" s="140">
        <v>0</v>
      </c>
      <c r="K36" s="142">
        <v>0</v>
      </c>
      <c r="L36" s="142">
        <v>2.4000000000000004</v>
      </c>
      <c r="M36" s="143">
        <v>120</v>
      </c>
      <c r="N36" s="140">
        <v>0</v>
      </c>
      <c r="O36" s="143">
        <f t="shared" si="0"/>
        <v>120</v>
      </c>
      <c r="P36" s="140">
        <v>660</v>
      </c>
      <c r="Q36" s="159">
        <f t="shared" si="1"/>
        <v>79200</v>
      </c>
      <c r="R36" s="140">
        <v>30</v>
      </c>
      <c r="S36" s="151">
        <f t="shared" si="2"/>
        <v>19800</v>
      </c>
      <c r="T36" s="140">
        <v>30</v>
      </c>
      <c r="U36" s="151">
        <f t="shared" si="3"/>
        <v>19800</v>
      </c>
      <c r="V36" s="140">
        <v>30</v>
      </c>
      <c r="W36" s="151">
        <f t="shared" si="4"/>
        <v>19800</v>
      </c>
      <c r="X36" s="140">
        <v>30</v>
      </c>
      <c r="Y36" s="151">
        <f t="shared" si="5"/>
        <v>19800</v>
      </c>
      <c r="Z36" s="146"/>
      <c r="AA36" s="155">
        <f t="shared" si="6"/>
        <v>120</v>
      </c>
      <c r="AB36" s="155">
        <f aca="true" t="shared" si="13" ref="AB36:AB62">O36-AA36</f>
        <v>0</v>
      </c>
      <c r="AC36" s="149">
        <f>O36/4</f>
        <v>30</v>
      </c>
      <c r="AD36" s="156">
        <f t="shared" si="12"/>
        <v>19800</v>
      </c>
      <c r="AG36" s="149">
        <v>2</v>
      </c>
      <c r="AH36" s="149">
        <v>1000</v>
      </c>
      <c r="AI36" s="150" t="s">
        <v>1352</v>
      </c>
      <c r="AJ36" s="206">
        <f t="shared" si="11"/>
        <v>2.4000000000000004</v>
      </c>
    </row>
    <row r="37" spans="1:38" ht="15">
      <c r="A37" s="140">
        <v>10949</v>
      </c>
      <c r="B37" s="140">
        <v>33</v>
      </c>
      <c r="C37" s="146"/>
      <c r="D37" s="147"/>
      <c r="E37" s="191" t="s">
        <v>463</v>
      </c>
      <c r="F37" s="153">
        <v>1</v>
      </c>
      <c r="G37" s="154" t="s">
        <v>1256</v>
      </c>
      <c r="H37" s="140">
        <v>1</v>
      </c>
      <c r="I37" s="140" t="s">
        <v>378</v>
      </c>
      <c r="J37" s="140">
        <v>0</v>
      </c>
      <c r="K37" s="142">
        <v>10</v>
      </c>
      <c r="L37" s="142">
        <v>24</v>
      </c>
      <c r="M37" s="143">
        <v>30</v>
      </c>
      <c r="N37" s="144">
        <v>0</v>
      </c>
      <c r="O37" s="143">
        <f t="shared" si="0"/>
        <v>30</v>
      </c>
      <c r="P37" s="151">
        <v>60</v>
      </c>
      <c r="Q37" s="159">
        <f t="shared" si="1"/>
        <v>1800</v>
      </c>
      <c r="R37" s="140">
        <v>0</v>
      </c>
      <c r="S37" s="151">
        <f t="shared" si="2"/>
        <v>0</v>
      </c>
      <c r="T37" s="142">
        <v>20</v>
      </c>
      <c r="U37" s="151">
        <f t="shared" si="3"/>
        <v>1200</v>
      </c>
      <c r="V37" s="140">
        <v>0</v>
      </c>
      <c r="W37" s="151">
        <f t="shared" si="4"/>
        <v>0</v>
      </c>
      <c r="X37" s="142">
        <v>10</v>
      </c>
      <c r="Y37" s="151">
        <f t="shared" si="5"/>
        <v>600</v>
      </c>
      <c r="Z37" s="146"/>
      <c r="AA37" s="155">
        <f t="shared" si="6"/>
        <v>30</v>
      </c>
      <c r="AB37" s="155">
        <f t="shared" si="13"/>
        <v>0</v>
      </c>
      <c r="AC37" s="149">
        <f aca="true" t="shared" si="14" ref="AC37:AC42">O37/4</f>
        <v>7.5</v>
      </c>
      <c r="AD37" s="156">
        <f t="shared" si="12"/>
        <v>450</v>
      </c>
      <c r="AG37" s="149">
        <v>20</v>
      </c>
      <c r="AH37" s="149">
        <v>1200</v>
      </c>
      <c r="AJ37" s="206">
        <f t="shared" si="11"/>
        <v>24</v>
      </c>
      <c r="AL37" s="149">
        <f>AK37/H37</f>
        <v>0</v>
      </c>
    </row>
    <row r="38" spans="1:38" ht="15">
      <c r="A38" s="140">
        <v>10949</v>
      </c>
      <c r="B38" s="140">
        <v>34</v>
      </c>
      <c r="C38" s="146" t="s">
        <v>663</v>
      </c>
      <c r="D38" s="147" t="s">
        <v>662</v>
      </c>
      <c r="E38" s="191" t="s">
        <v>30</v>
      </c>
      <c r="F38" s="153">
        <v>1</v>
      </c>
      <c r="G38" s="154" t="s">
        <v>1258</v>
      </c>
      <c r="H38" s="140">
        <v>450</v>
      </c>
      <c r="I38" s="140" t="s">
        <v>1250</v>
      </c>
      <c r="J38" s="140">
        <v>36</v>
      </c>
      <c r="K38" s="142">
        <v>17</v>
      </c>
      <c r="L38" s="142">
        <v>22.799999999999997</v>
      </c>
      <c r="M38" s="143">
        <v>27</v>
      </c>
      <c r="N38" s="144">
        <v>3</v>
      </c>
      <c r="O38" s="143">
        <f t="shared" si="0"/>
        <v>24</v>
      </c>
      <c r="P38" s="140">
        <v>34.29</v>
      </c>
      <c r="Q38" s="159">
        <f t="shared" si="1"/>
        <v>822.96</v>
      </c>
      <c r="R38" s="140">
        <v>0</v>
      </c>
      <c r="S38" s="151">
        <f t="shared" si="2"/>
        <v>0</v>
      </c>
      <c r="T38" s="142">
        <v>24</v>
      </c>
      <c r="U38" s="151">
        <f t="shared" si="3"/>
        <v>822.96</v>
      </c>
      <c r="V38" s="140">
        <v>0</v>
      </c>
      <c r="W38" s="151">
        <f t="shared" si="4"/>
        <v>0</v>
      </c>
      <c r="X38" s="142">
        <v>0</v>
      </c>
      <c r="Y38" s="151">
        <f t="shared" si="5"/>
        <v>0</v>
      </c>
      <c r="Z38" s="146"/>
      <c r="AA38" s="155">
        <f t="shared" si="6"/>
        <v>24</v>
      </c>
      <c r="AB38" s="155">
        <f t="shared" si="13"/>
        <v>0</v>
      </c>
      <c r="AC38" s="149">
        <f t="shared" si="14"/>
        <v>6</v>
      </c>
      <c r="AD38" s="156">
        <f t="shared" si="12"/>
        <v>205.74</v>
      </c>
      <c r="AG38" s="149">
        <v>19</v>
      </c>
      <c r="AH38" s="149">
        <v>651.51</v>
      </c>
      <c r="AI38" s="150" t="s">
        <v>1352</v>
      </c>
      <c r="AJ38" s="206">
        <f t="shared" si="11"/>
        <v>22.799999999999997</v>
      </c>
      <c r="AL38" s="149">
        <f>AK38/H38</f>
        <v>0</v>
      </c>
    </row>
    <row r="39" spans="1:36" ht="15">
      <c r="A39" s="140">
        <v>10949</v>
      </c>
      <c r="B39" s="140">
        <v>35</v>
      </c>
      <c r="C39" s="146" t="s">
        <v>665</v>
      </c>
      <c r="D39" s="147" t="s">
        <v>664</v>
      </c>
      <c r="E39" s="191" t="s">
        <v>30</v>
      </c>
      <c r="F39" s="153">
        <v>1</v>
      </c>
      <c r="G39" s="154" t="s">
        <v>1258</v>
      </c>
      <c r="H39" s="140">
        <v>60</v>
      </c>
      <c r="I39" s="140" t="s">
        <v>1250</v>
      </c>
      <c r="J39" s="140">
        <v>0</v>
      </c>
      <c r="K39" s="142">
        <v>0</v>
      </c>
      <c r="L39" s="142">
        <v>0</v>
      </c>
      <c r="M39" s="143">
        <v>0</v>
      </c>
      <c r="N39" s="144">
        <v>0</v>
      </c>
      <c r="O39" s="143">
        <f t="shared" si="0"/>
        <v>0</v>
      </c>
      <c r="P39" s="140">
        <v>18.19</v>
      </c>
      <c r="Q39" s="159">
        <f t="shared" si="1"/>
        <v>0</v>
      </c>
      <c r="R39" s="140">
        <v>0</v>
      </c>
      <c r="S39" s="151">
        <f t="shared" si="2"/>
        <v>0</v>
      </c>
      <c r="T39" s="142">
        <v>0</v>
      </c>
      <c r="U39" s="151">
        <f t="shared" si="3"/>
        <v>0</v>
      </c>
      <c r="V39" s="140">
        <v>0</v>
      </c>
      <c r="W39" s="151">
        <f t="shared" si="4"/>
        <v>0</v>
      </c>
      <c r="X39" s="142">
        <v>0</v>
      </c>
      <c r="Y39" s="151">
        <f t="shared" si="5"/>
        <v>0</v>
      </c>
      <c r="Z39" s="146"/>
      <c r="AA39" s="155">
        <f t="shared" si="6"/>
        <v>0</v>
      </c>
      <c r="AB39" s="155">
        <f t="shared" si="13"/>
        <v>0</v>
      </c>
      <c r="AC39" s="149">
        <f t="shared" si="14"/>
        <v>0</v>
      </c>
      <c r="AD39" s="156">
        <f t="shared" si="12"/>
        <v>0</v>
      </c>
      <c r="AI39" s="150" t="s">
        <v>1352</v>
      </c>
      <c r="AJ39" s="206">
        <f t="shared" si="11"/>
        <v>0</v>
      </c>
    </row>
    <row r="40" spans="1:38" ht="15">
      <c r="A40" s="140">
        <v>10949</v>
      </c>
      <c r="B40" s="140">
        <v>36</v>
      </c>
      <c r="C40" s="146"/>
      <c r="D40" s="147"/>
      <c r="E40" s="191" t="s">
        <v>31</v>
      </c>
      <c r="F40" s="153">
        <v>1</v>
      </c>
      <c r="G40" s="154" t="s">
        <v>1247</v>
      </c>
      <c r="H40" s="140">
        <v>5</v>
      </c>
      <c r="I40" s="140" t="s">
        <v>1238</v>
      </c>
      <c r="J40" s="143">
        <v>1600</v>
      </c>
      <c r="K40" s="142">
        <v>1690</v>
      </c>
      <c r="L40" s="142">
        <v>1516.8000000000002</v>
      </c>
      <c r="M40" s="143">
        <v>1682</v>
      </c>
      <c r="N40" s="144">
        <v>82</v>
      </c>
      <c r="O40" s="143">
        <f t="shared" si="0"/>
        <v>1600</v>
      </c>
      <c r="P40" s="140">
        <v>8</v>
      </c>
      <c r="Q40" s="159">
        <f t="shared" si="1"/>
        <v>12800</v>
      </c>
      <c r="R40" s="140">
        <v>400</v>
      </c>
      <c r="S40" s="151">
        <f t="shared" si="2"/>
        <v>3200</v>
      </c>
      <c r="T40" s="142">
        <v>400</v>
      </c>
      <c r="U40" s="151">
        <f t="shared" si="3"/>
        <v>3200</v>
      </c>
      <c r="V40" s="140">
        <v>400</v>
      </c>
      <c r="W40" s="151">
        <f t="shared" si="4"/>
        <v>3200</v>
      </c>
      <c r="X40" s="142">
        <v>400</v>
      </c>
      <c r="Y40" s="151">
        <f t="shared" si="5"/>
        <v>3200</v>
      </c>
      <c r="Z40" s="146"/>
      <c r="AA40" s="155">
        <f t="shared" si="6"/>
        <v>1600</v>
      </c>
      <c r="AB40" s="155">
        <f t="shared" si="13"/>
        <v>0</v>
      </c>
      <c r="AC40" s="149">
        <f t="shared" si="14"/>
        <v>400</v>
      </c>
      <c r="AD40" s="156">
        <f t="shared" si="12"/>
        <v>3200</v>
      </c>
      <c r="AG40" s="149">
        <v>1264</v>
      </c>
      <c r="AH40" s="149">
        <v>10112</v>
      </c>
      <c r="AI40" s="150" t="s">
        <v>1356</v>
      </c>
      <c r="AJ40" s="206">
        <f t="shared" si="11"/>
        <v>1516.8000000000002</v>
      </c>
      <c r="AL40" s="149">
        <f>AK40/H40</f>
        <v>0</v>
      </c>
    </row>
    <row r="41" spans="1:38" ht="15">
      <c r="A41" s="140">
        <v>10949</v>
      </c>
      <c r="B41" s="140">
        <v>37</v>
      </c>
      <c r="C41" s="146" t="s">
        <v>667</v>
      </c>
      <c r="D41" s="147" t="s">
        <v>666</v>
      </c>
      <c r="E41" s="191" t="s">
        <v>383</v>
      </c>
      <c r="F41" s="153">
        <v>1</v>
      </c>
      <c r="G41" s="154" t="s">
        <v>1248</v>
      </c>
      <c r="H41" s="140">
        <v>1</v>
      </c>
      <c r="I41" s="140" t="s">
        <v>378</v>
      </c>
      <c r="J41" s="140">
        <v>2477</v>
      </c>
      <c r="K41" s="141">
        <v>2843</v>
      </c>
      <c r="L41" s="142">
        <v>3204</v>
      </c>
      <c r="M41" s="143">
        <v>3200</v>
      </c>
      <c r="N41" s="144">
        <v>0</v>
      </c>
      <c r="O41" s="143">
        <f t="shared" si="0"/>
        <v>3200</v>
      </c>
      <c r="P41" s="140">
        <v>62</v>
      </c>
      <c r="Q41" s="159">
        <f t="shared" si="1"/>
        <v>198400</v>
      </c>
      <c r="R41" s="140">
        <v>800</v>
      </c>
      <c r="S41" s="151">
        <f t="shared" si="2"/>
        <v>49600</v>
      </c>
      <c r="T41" s="142">
        <v>800</v>
      </c>
      <c r="U41" s="151">
        <f t="shared" si="3"/>
        <v>49600</v>
      </c>
      <c r="V41" s="140">
        <v>800</v>
      </c>
      <c r="W41" s="151">
        <f t="shared" si="4"/>
        <v>49600</v>
      </c>
      <c r="X41" s="142">
        <v>800</v>
      </c>
      <c r="Y41" s="151">
        <f t="shared" si="5"/>
        <v>49600</v>
      </c>
      <c r="Z41" s="146"/>
      <c r="AA41" s="155">
        <f t="shared" si="6"/>
        <v>3200</v>
      </c>
      <c r="AB41" s="155">
        <f t="shared" si="13"/>
        <v>0</v>
      </c>
      <c r="AC41" s="149">
        <f t="shared" si="14"/>
        <v>800</v>
      </c>
      <c r="AD41" s="156">
        <f t="shared" si="12"/>
        <v>49600</v>
      </c>
      <c r="AG41" s="149">
        <v>2670</v>
      </c>
      <c r="AH41" s="149">
        <v>165540</v>
      </c>
      <c r="AI41" s="150" t="s">
        <v>1302</v>
      </c>
      <c r="AJ41" s="206">
        <f t="shared" si="11"/>
        <v>3204</v>
      </c>
      <c r="AL41" s="149">
        <f>AK41/H41</f>
        <v>0</v>
      </c>
    </row>
    <row r="42" spans="1:38" ht="15">
      <c r="A42" s="140">
        <v>10949</v>
      </c>
      <c r="B42" s="140">
        <v>38</v>
      </c>
      <c r="C42" s="146" t="s">
        <v>669</v>
      </c>
      <c r="D42" s="147" t="s">
        <v>668</v>
      </c>
      <c r="E42" s="191" t="s">
        <v>32</v>
      </c>
      <c r="F42" s="153">
        <v>1</v>
      </c>
      <c r="G42" s="154" t="s">
        <v>1245</v>
      </c>
      <c r="H42" s="140">
        <v>1000</v>
      </c>
      <c r="I42" s="140" t="s">
        <v>376</v>
      </c>
      <c r="J42" s="140">
        <v>20</v>
      </c>
      <c r="K42" s="142">
        <v>19</v>
      </c>
      <c r="L42" s="142">
        <v>14.399999999999999</v>
      </c>
      <c r="M42" s="143">
        <v>19</v>
      </c>
      <c r="N42" s="144">
        <v>7</v>
      </c>
      <c r="O42" s="143">
        <f t="shared" si="0"/>
        <v>12</v>
      </c>
      <c r="P42" s="140">
        <v>120</v>
      </c>
      <c r="Q42" s="159">
        <f t="shared" si="1"/>
        <v>1440</v>
      </c>
      <c r="R42" s="140">
        <v>0</v>
      </c>
      <c r="S42" s="151">
        <f t="shared" si="2"/>
        <v>0</v>
      </c>
      <c r="T42" s="142">
        <v>6</v>
      </c>
      <c r="U42" s="151">
        <f t="shared" si="3"/>
        <v>720</v>
      </c>
      <c r="V42" s="140">
        <v>0</v>
      </c>
      <c r="W42" s="151">
        <f t="shared" si="4"/>
        <v>0</v>
      </c>
      <c r="X42" s="142">
        <v>6</v>
      </c>
      <c r="Y42" s="151">
        <f t="shared" si="5"/>
        <v>720</v>
      </c>
      <c r="Z42" s="146"/>
      <c r="AA42" s="155">
        <f t="shared" si="6"/>
        <v>12</v>
      </c>
      <c r="AB42" s="155">
        <f t="shared" si="13"/>
        <v>0</v>
      </c>
      <c r="AC42" s="149">
        <f t="shared" si="14"/>
        <v>3</v>
      </c>
      <c r="AD42" s="156">
        <f t="shared" si="12"/>
        <v>360</v>
      </c>
      <c r="AG42" s="149">
        <v>12</v>
      </c>
      <c r="AH42" s="149">
        <v>1440</v>
      </c>
      <c r="AI42" s="150" t="s">
        <v>1352</v>
      </c>
      <c r="AJ42" s="206">
        <f t="shared" si="11"/>
        <v>14.399999999999999</v>
      </c>
      <c r="AL42" s="149">
        <f>AK42/H42</f>
        <v>0</v>
      </c>
    </row>
    <row r="43" spans="1:36" ht="15">
      <c r="A43" s="140">
        <v>10949</v>
      </c>
      <c r="B43" s="140">
        <v>39</v>
      </c>
      <c r="C43" s="146" t="s">
        <v>671</v>
      </c>
      <c r="D43" s="147" t="s">
        <v>670</v>
      </c>
      <c r="E43" s="152" t="s">
        <v>1367</v>
      </c>
      <c r="F43" s="140">
        <v>1</v>
      </c>
      <c r="G43" s="154" t="s">
        <v>1245</v>
      </c>
      <c r="H43" s="140">
        <v>100</v>
      </c>
      <c r="I43" s="140" t="s">
        <v>376</v>
      </c>
      <c r="J43" s="140">
        <v>6</v>
      </c>
      <c r="K43" s="142">
        <v>0</v>
      </c>
      <c r="L43" s="142">
        <v>6</v>
      </c>
      <c r="M43" s="143">
        <v>5</v>
      </c>
      <c r="N43" s="140">
        <v>10</v>
      </c>
      <c r="O43" s="143">
        <v>0</v>
      </c>
      <c r="P43" s="140">
        <v>267.5</v>
      </c>
      <c r="Q43" s="159">
        <f t="shared" si="1"/>
        <v>0</v>
      </c>
      <c r="R43" s="140">
        <v>0</v>
      </c>
      <c r="S43" s="151">
        <f t="shared" si="2"/>
        <v>0</v>
      </c>
      <c r="T43" s="140">
        <v>0</v>
      </c>
      <c r="U43" s="151">
        <f t="shared" si="3"/>
        <v>0</v>
      </c>
      <c r="V43" s="140">
        <v>0</v>
      </c>
      <c r="W43" s="151">
        <f t="shared" si="4"/>
        <v>0</v>
      </c>
      <c r="X43" s="140">
        <v>0</v>
      </c>
      <c r="Y43" s="151">
        <f t="shared" si="5"/>
        <v>0</v>
      </c>
      <c r="Z43" s="146"/>
      <c r="AA43" s="155">
        <f t="shared" si="6"/>
        <v>0</v>
      </c>
      <c r="AB43" s="155">
        <f t="shared" si="13"/>
        <v>0</v>
      </c>
      <c r="AD43" s="156">
        <f t="shared" si="12"/>
        <v>0</v>
      </c>
      <c r="AG43" s="149">
        <v>5</v>
      </c>
      <c r="AH43" s="149">
        <v>1337.5</v>
      </c>
      <c r="AI43" s="150" t="s">
        <v>1354</v>
      </c>
      <c r="AJ43" s="206">
        <f t="shared" si="11"/>
        <v>6</v>
      </c>
    </row>
    <row r="44" spans="1:38" ht="15">
      <c r="A44" s="140">
        <v>10949</v>
      </c>
      <c r="B44" s="140">
        <v>40</v>
      </c>
      <c r="C44" s="146"/>
      <c r="D44" s="147"/>
      <c r="E44" s="191" t="s">
        <v>215</v>
      </c>
      <c r="F44" s="153">
        <v>2</v>
      </c>
      <c r="G44" s="154" t="s">
        <v>1245</v>
      </c>
      <c r="H44" s="140">
        <v>1000</v>
      </c>
      <c r="I44" s="140" t="s">
        <v>376</v>
      </c>
      <c r="J44" s="140">
        <v>148</v>
      </c>
      <c r="K44" s="142">
        <v>124</v>
      </c>
      <c r="L44" s="142">
        <v>69.6</v>
      </c>
      <c r="M44" s="143">
        <v>120</v>
      </c>
      <c r="N44" s="144">
        <v>40</v>
      </c>
      <c r="O44" s="143">
        <f t="shared" si="0"/>
        <v>80</v>
      </c>
      <c r="P44" s="140">
        <v>60</v>
      </c>
      <c r="Q44" s="159">
        <f t="shared" si="1"/>
        <v>4800</v>
      </c>
      <c r="R44" s="140">
        <v>20</v>
      </c>
      <c r="S44" s="151">
        <f t="shared" si="2"/>
        <v>1200</v>
      </c>
      <c r="T44" s="142">
        <v>20</v>
      </c>
      <c r="U44" s="151">
        <f t="shared" si="3"/>
        <v>1200</v>
      </c>
      <c r="V44" s="140">
        <v>20</v>
      </c>
      <c r="W44" s="151">
        <f t="shared" si="4"/>
        <v>1200</v>
      </c>
      <c r="X44" s="142">
        <v>20</v>
      </c>
      <c r="Y44" s="151">
        <f t="shared" si="5"/>
        <v>1200</v>
      </c>
      <c r="Z44" s="146"/>
      <c r="AA44" s="155">
        <f t="shared" si="6"/>
        <v>80</v>
      </c>
      <c r="AB44" s="155">
        <f t="shared" si="13"/>
        <v>0</v>
      </c>
      <c r="AC44" s="149">
        <f aca="true" t="shared" si="15" ref="AC44:AC54">O44/4</f>
        <v>20</v>
      </c>
      <c r="AD44" s="156">
        <f t="shared" si="12"/>
        <v>1200</v>
      </c>
      <c r="AG44" s="149">
        <v>58</v>
      </c>
      <c r="AH44" s="149">
        <v>2610</v>
      </c>
      <c r="AI44" s="150" t="s">
        <v>1354</v>
      </c>
      <c r="AJ44" s="206">
        <f t="shared" si="11"/>
        <v>69.6</v>
      </c>
      <c r="AL44" s="149">
        <f aca="true" t="shared" si="16" ref="AL44:AL53">AK44/H44</f>
        <v>0</v>
      </c>
    </row>
    <row r="45" spans="1:38" ht="15">
      <c r="A45" s="140">
        <v>10949</v>
      </c>
      <c r="B45" s="140">
        <v>41</v>
      </c>
      <c r="C45" s="146" t="s">
        <v>1189</v>
      </c>
      <c r="D45" s="147" t="s">
        <v>1188</v>
      </c>
      <c r="E45" s="191" t="s">
        <v>33</v>
      </c>
      <c r="F45" s="153">
        <v>1</v>
      </c>
      <c r="G45" s="154" t="s">
        <v>1251</v>
      </c>
      <c r="H45" s="140">
        <v>60</v>
      </c>
      <c r="I45" s="140" t="s">
        <v>1250</v>
      </c>
      <c r="J45" s="140">
        <v>1640</v>
      </c>
      <c r="K45" s="142">
        <v>1660</v>
      </c>
      <c r="L45" s="142">
        <v>1248</v>
      </c>
      <c r="M45" s="143">
        <v>1500</v>
      </c>
      <c r="N45" s="144">
        <v>500</v>
      </c>
      <c r="O45" s="143">
        <f t="shared" si="0"/>
        <v>1000</v>
      </c>
      <c r="P45" s="140">
        <v>8</v>
      </c>
      <c r="Q45" s="159">
        <f t="shared" si="1"/>
        <v>8000</v>
      </c>
      <c r="R45" s="140">
        <v>250</v>
      </c>
      <c r="S45" s="151">
        <f t="shared" si="2"/>
        <v>2000</v>
      </c>
      <c r="T45" s="142">
        <v>250</v>
      </c>
      <c r="U45" s="151">
        <f t="shared" si="3"/>
        <v>2000</v>
      </c>
      <c r="V45" s="140">
        <v>250</v>
      </c>
      <c r="W45" s="151">
        <f t="shared" si="4"/>
        <v>2000</v>
      </c>
      <c r="X45" s="142">
        <v>250</v>
      </c>
      <c r="Y45" s="151">
        <f t="shared" si="5"/>
        <v>2000</v>
      </c>
      <c r="Z45" s="146"/>
      <c r="AA45" s="155">
        <f t="shared" si="6"/>
        <v>1000</v>
      </c>
      <c r="AB45" s="155">
        <f t="shared" si="13"/>
        <v>0</v>
      </c>
      <c r="AC45" s="149">
        <f t="shared" si="15"/>
        <v>250</v>
      </c>
      <c r="AD45" s="156">
        <f t="shared" si="12"/>
        <v>2000</v>
      </c>
      <c r="AG45" s="149">
        <v>1040</v>
      </c>
      <c r="AH45" s="149">
        <v>8320</v>
      </c>
      <c r="AI45" s="150" t="s">
        <v>1356</v>
      </c>
      <c r="AJ45" s="206">
        <f t="shared" si="11"/>
        <v>1248</v>
      </c>
      <c r="AL45" s="149">
        <f t="shared" si="16"/>
        <v>0</v>
      </c>
    </row>
    <row r="46" spans="1:38" ht="15">
      <c r="A46" s="140">
        <v>10949</v>
      </c>
      <c r="B46" s="140">
        <v>42</v>
      </c>
      <c r="C46" s="146" t="s">
        <v>673</v>
      </c>
      <c r="D46" s="147" t="s">
        <v>672</v>
      </c>
      <c r="E46" s="191" t="s">
        <v>1402</v>
      </c>
      <c r="F46" s="153">
        <v>1</v>
      </c>
      <c r="G46" s="154" t="s">
        <v>1259</v>
      </c>
      <c r="H46" s="140">
        <v>1</v>
      </c>
      <c r="I46" s="140" t="s">
        <v>380</v>
      </c>
      <c r="J46" s="140">
        <v>770</v>
      </c>
      <c r="K46" s="142">
        <v>700</v>
      </c>
      <c r="L46" s="142">
        <v>534</v>
      </c>
      <c r="M46" s="143">
        <v>700</v>
      </c>
      <c r="N46" s="144">
        <v>200</v>
      </c>
      <c r="O46" s="143">
        <f t="shared" si="0"/>
        <v>500</v>
      </c>
      <c r="P46" s="157">
        <v>72</v>
      </c>
      <c r="Q46" s="159">
        <f t="shared" si="1"/>
        <v>36000</v>
      </c>
      <c r="R46" s="140">
        <v>120</v>
      </c>
      <c r="S46" s="151">
        <f t="shared" si="2"/>
        <v>8640</v>
      </c>
      <c r="T46" s="142">
        <v>130</v>
      </c>
      <c r="U46" s="151">
        <f t="shared" si="3"/>
        <v>9360</v>
      </c>
      <c r="V46" s="140">
        <v>120</v>
      </c>
      <c r="W46" s="151">
        <f t="shared" si="4"/>
        <v>8640</v>
      </c>
      <c r="X46" s="142">
        <v>130</v>
      </c>
      <c r="Y46" s="151">
        <f t="shared" si="5"/>
        <v>9360</v>
      </c>
      <c r="Z46" s="146"/>
      <c r="AA46" s="155">
        <f t="shared" si="6"/>
        <v>500</v>
      </c>
      <c r="AB46" s="155">
        <f t="shared" si="13"/>
        <v>0</v>
      </c>
      <c r="AC46" s="149">
        <f t="shared" si="15"/>
        <v>125</v>
      </c>
      <c r="AD46" s="156">
        <f t="shared" si="12"/>
        <v>9000</v>
      </c>
      <c r="AG46" s="149">
        <v>445</v>
      </c>
      <c r="AH46" s="149">
        <v>31115.600000000002</v>
      </c>
      <c r="AI46" s="150" t="s">
        <v>1356</v>
      </c>
      <c r="AJ46" s="206">
        <f t="shared" si="11"/>
        <v>534</v>
      </c>
      <c r="AL46" s="149">
        <f t="shared" si="16"/>
        <v>0</v>
      </c>
    </row>
    <row r="47" spans="1:38" ht="15">
      <c r="A47" s="140">
        <v>10949</v>
      </c>
      <c r="B47" s="140">
        <v>43</v>
      </c>
      <c r="C47" s="146" t="s">
        <v>675</v>
      </c>
      <c r="D47" s="147" t="s">
        <v>674</v>
      </c>
      <c r="E47" s="191" t="s">
        <v>34</v>
      </c>
      <c r="F47" s="153">
        <v>1</v>
      </c>
      <c r="G47" s="154" t="s">
        <v>1260</v>
      </c>
      <c r="H47" s="140">
        <v>60</v>
      </c>
      <c r="I47" s="140" t="s">
        <v>1250</v>
      </c>
      <c r="J47" s="143">
        <v>1895</v>
      </c>
      <c r="K47" s="142">
        <v>1720</v>
      </c>
      <c r="L47" s="142">
        <v>1351.1999999999998</v>
      </c>
      <c r="M47" s="143">
        <v>1738</v>
      </c>
      <c r="N47" s="144">
        <v>238</v>
      </c>
      <c r="O47" s="143">
        <f t="shared" si="0"/>
        <v>1500</v>
      </c>
      <c r="P47" s="140">
        <v>10.04</v>
      </c>
      <c r="Q47" s="159">
        <f t="shared" si="1"/>
        <v>15059.999999999998</v>
      </c>
      <c r="R47" s="140">
        <v>400</v>
      </c>
      <c r="S47" s="151">
        <f t="shared" si="2"/>
        <v>4015.9999999999995</v>
      </c>
      <c r="T47" s="142">
        <v>350</v>
      </c>
      <c r="U47" s="151">
        <f t="shared" si="3"/>
        <v>3513.9999999999995</v>
      </c>
      <c r="V47" s="140">
        <v>400</v>
      </c>
      <c r="W47" s="151">
        <f t="shared" si="4"/>
        <v>4015.9999999999995</v>
      </c>
      <c r="X47" s="142">
        <v>350</v>
      </c>
      <c r="Y47" s="151">
        <f t="shared" si="5"/>
        <v>3513.9999999999995</v>
      </c>
      <c r="Z47" s="146"/>
      <c r="AA47" s="155">
        <f t="shared" si="6"/>
        <v>1500</v>
      </c>
      <c r="AB47" s="155">
        <f t="shared" si="13"/>
        <v>0</v>
      </c>
      <c r="AC47" s="149">
        <f t="shared" si="15"/>
        <v>375</v>
      </c>
      <c r="AD47" s="156">
        <f t="shared" si="12"/>
        <v>3764.9999999999995</v>
      </c>
      <c r="AG47" s="149">
        <v>1126</v>
      </c>
      <c r="AH47" s="149">
        <v>11260</v>
      </c>
      <c r="AI47" s="150" t="s">
        <v>1356</v>
      </c>
      <c r="AJ47" s="206">
        <f t="shared" si="11"/>
        <v>1351.1999999999998</v>
      </c>
      <c r="AL47" s="149">
        <f t="shared" si="16"/>
        <v>0</v>
      </c>
    </row>
    <row r="48" spans="1:38" ht="15">
      <c r="A48" s="140">
        <v>10949</v>
      </c>
      <c r="B48" s="140">
        <v>44</v>
      </c>
      <c r="C48" s="146" t="s">
        <v>677</v>
      </c>
      <c r="D48" s="147" t="s">
        <v>676</v>
      </c>
      <c r="E48" s="191" t="s">
        <v>464</v>
      </c>
      <c r="F48" s="153">
        <v>1</v>
      </c>
      <c r="G48" s="154" t="s">
        <v>1246</v>
      </c>
      <c r="H48" s="140">
        <v>100</v>
      </c>
      <c r="I48" s="140" t="s">
        <v>1235</v>
      </c>
      <c r="J48" s="140">
        <v>20</v>
      </c>
      <c r="K48" s="158">
        <v>58</v>
      </c>
      <c r="L48" s="142">
        <v>33.647999999999996</v>
      </c>
      <c r="M48" s="143">
        <v>39</v>
      </c>
      <c r="N48" s="144">
        <v>15</v>
      </c>
      <c r="O48" s="143">
        <f t="shared" si="0"/>
        <v>24</v>
      </c>
      <c r="P48" s="140">
        <v>644</v>
      </c>
      <c r="Q48" s="159">
        <f t="shared" si="1"/>
        <v>15456</v>
      </c>
      <c r="R48" s="140">
        <v>6</v>
      </c>
      <c r="S48" s="151">
        <f t="shared" si="2"/>
        <v>3864</v>
      </c>
      <c r="T48" s="142">
        <v>6</v>
      </c>
      <c r="U48" s="151">
        <f t="shared" si="3"/>
        <v>3864</v>
      </c>
      <c r="V48" s="140">
        <v>6</v>
      </c>
      <c r="W48" s="151">
        <f t="shared" si="4"/>
        <v>3864</v>
      </c>
      <c r="X48" s="142">
        <v>6</v>
      </c>
      <c r="Y48" s="151">
        <f t="shared" si="5"/>
        <v>3864</v>
      </c>
      <c r="Z48" s="146"/>
      <c r="AA48" s="155">
        <f t="shared" si="6"/>
        <v>24</v>
      </c>
      <c r="AB48" s="155">
        <f t="shared" si="13"/>
        <v>0</v>
      </c>
      <c r="AC48" s="149">
        <f t="shared" si="15"/>
        <v>6</v>
      </c>
      <c r="AD48" s="156">
        <f t="shared" si="12"/>
        <v>3864</v>
      </c>
      <c r="AG48" s="149">
        <v>28.04</v>
      </c>
      <c r="AH48" s="149">
        <v>20608.000000000004</v>
      </c>
      <c r="AI48" s="150" t="s">
        <v>1356</v>
      </c>
      <c r="AJ48" s="206">
        <f t="shared" si="11"/>
        <v>33.647999999999996</v>
      </c>
      <c r="AL48" s="149">
        <f t="shared" si="16"/>
        <v>0</v>
      </c>
    </row>
    <row r="49" spans="1:38" ht="15">
      <c r="A49" s="140">
        <v>10949</v>
      </c>
      <c r="B49" s="140">
        <v>45</v>
      </c>
      <c r="C49" s="146" t="s">
        <v>679</v>
      </c>
      <c r="D49" s="147" t="s">
        <v>678</v>
      </c>
      <c r="E49" s="191" t="s">
        <v>1376</v>
      </c>
      <c r="F49" s="153">
        <v>1</v>
      </c>
      <c r="G49" s="154" t="s">
        <v>1245</v>
      </c>
      <c r="H49" s="140">
        <v>1000</v>
      </c>
      <c r="I49" s="140" t="s">
        <v>376</v>
      </c>
      <c r="J49" s="140">
        <f>1302/2</f>
        <v>651</v>
      </c>
      <c r="K49" s="142">
        <v>733</v>
      </c>
      <c r="L49" s="142">
        <v>771.5999999999999</v>
      </c>
      <c r="M49" s="143">
        <v>754</v>
      </c>
      <c r="N49" s="144">
        <v>34</v>
      </c>
      <c r="O49" s="143">
        <f t="shared" si="0"/>
        <v>720</v>
      </c>
      <c r="P49" s="143">
        <v>168</v>
      </c>
      <c r="Q49" s="159">
        <f t="shared" si="1"/>
        <v>120960</v>
      </c>
      <c r="R49" s="140">
        <v>180</v>
      </c>
      <c r="S49" s="151">
        <f t="shared" si="2"/>
        <v>30240</v>
      </c>
      <c r="T49" s="142">
        <v>180</v>
      </c>
      <c r="U49" s="151">
        <f t="shared" si="3"/>
        <v>30240</v>
      </c>
      <c r="V49" s="140">
        <v>180</v>
      </c>
      <c r="W49" s="151">
        <f t="shared" si="4"/>
        <v>30240</v>
      </c>
      <c r="X49" s="142">
        <v>180</v>
      </c>
      <c r="Y49" s="151">
        <f t="shared" si="5"/>
        <v>30240</v>
      </c>
      <c r="Z49" s="146"/>
      <c r="AA49" s="155">
        <f t="shared" si="6"/>
        <v>720</v>
      </c>
      <c r="AB49" s="155">
        <f t="shared" si="13"/>
        <v>0</v>
      </c>
      <c r="AC49" s="149">
        <f t="shared" si="15"/>
        <v>180</v>
      </c>
      <c r="AD49" s="156">
        <f t="shared" si="12"/>
        <v>30240</v>
      </c>
      <c r="AG49" s="149">
        <v>643</v>
      </c>
      <c r="AH49" s="149">
        <v>108024</v>
      </c>
      <c r="AI49" s="150" t="s">
        <v>1355</v>
      </c>
      <c r="AJ49" s="206">
        <f t="shared" si="11"/>
        <v>771.5999999999999</v>
      </c>
      <c r="AL49" s="149">
        <f t="shared" si="16"/>
        <v>0</v>
      </c>
    </row>
    <row r="50" spans="1:38" ht="15">
      <c r="A50" s="140">
        <v>10949</v>
      </c>
      <c r="B50" s="140">
        <v>46</v>
      </c>
      <c r="C50" s="146" t="s">
        <v>681</v>
      </c>
      <c r="D50" s="147" t="s">
        <v>680</v>
      </c>
      <c r="E50" s="191" t="s">
        <v>384</v>
      </c>
      <c r="F50" s="153">
        <v>1</v>
      </c>
      <c r="G50" s="154" t="s">
        <v>1248</v>
      </c>
      <c r="H50" s="137">
        <v>1</v>
      </c>
      <c r="I50" s="140" t="s">
        <v>486</v>
      </c>
      <c r="J50" s="140">
        <v>100</v>
      </c>
      <c r="K50" s="142">
        <v>188</v>
      </c>
      <c r="L50" s="142">
        <v>85.19999999999999</v>
      </c>
      <c r="M50" s="143">
        <v>130</v>
      </c>
      <c r="N50" s="144">
        <v>30</v>
      </c>
      <c r="O50" s="143">
        <f t="shared" si="0"/>
        <v>100</v>
      </c>
      <c r="P50" s="140">
        <v>10</v>
      </c>
      <c r="Q50" s="159">
        <f t="shared" si="1"/>
        <v>1000</v>
      </c>
      <c r="R50" s="140">
        <v>0</v>
      </c>
      <c r="S50" s="151">
        <f t="shared" si="2"/>
        <v>0</v>
      </c>
      <c r="T50" s="142">
        <v>50</v>
      </c>
      <c r="U50" s="151">
        <f t="shared" si="3"/>
        <v>500</v>
      </c>
      <c r="V50" s="140">
        <v>0</v>
      </c>
      <c r="W50" s="151">
        <f t="shared" si="4"/>
        <v>0</v>
      </c>
      <c r="X50" s="142">
        <v>50</v>
      </c>
      <c r="Y50" s="151">
        <f t="shared" si="5"/>
        <v>500</v>
      </c>
      <c r="Z50" s="146"/>
      <c r="AA50" s="155">
        <f t="shared" si="6"/>
        <v>100</v>
      </c>
      <c r="AB50" s="155">
        <f t="shared" si="13"/>
        <v>0</v>
      </c>
      <c r="AC50" s="149">
        <f t="shared" si="15"/>
        <v>25</v>
      </c>
      <c r="AD50" s="156">
        <f t="shared" si="12"/>
        <v>250</v>
      </c>
      <c r="AG50" s="149">
        <v>71</v>
      </c>
      <c r="AH50" s="149">
        <v>710</v>
      </c>
      <c r="AI50" s="150" t="s">
        <v>1300</v>
      </c>
      <c r="AJ50" s="206">
        <f t="shared" si="11"/>
        <v>85.19999999999999</v>
      </c>
      <c r="AL50" s="149">
        <f t="shared" si="16"/>
        <v>0</v>
      </c>
    </row>
    <row r="51" spans="1:40" s="214" customFormat="1" ht="15">
      <c r="A51" s="140">
        <v>10949</v>
      </c>
      <c r="B51" s="140">
        <v>47</v>
      </c>
      <c r="C51" s="146">
        <v>818495</v>
      </c>
      <c r="D51" s="147" t="s">
        <v>684</v>
      </c>
      <c r="E51" s="152" t="s">
        <v>490</v>
      </c>
      <c r="F51" s="188">
        <v>1</v>
      </c>
      <c r="G51" s="146" t="s">
        <v>1245</v>
      </c>
      <c r="H51" s="140">
        <v>500</v>
      </c>
      <c r="I51" s="140" t="s">
        <v>376</v>
      </c>
      <c r="J51" s="140">
        <v>2</v>
      </c>
      <c r="K51" s="142">
        <v>0</v>
      </c>
      <c r="L51" s="142">
        <v>0</v>
      </c>
      <c r="M51" s="143">
        <v>1</v>
      </c>
      <c r="N51" s="144">
        <v>1</v>
      </c>
      <c r="O51" s="143">
        <f t="shared" si="0"/>
        <v>0</v>
      </c>
      <c r="P51" s="143">
        <v>780</v>
      </c>
      <c r="Q51" s="159">
        <f t="shared" si="1"/>
        <v>0</v>
      </c>
      <c r="R51" s="140">
        <v>0</v>
      </c>
      <c r="S51" s="151">
        <f t="shared" si="2"/>
        <v>0</v>
      </c>
      <c r="T51" s="142">
        <v>0</v>
      </c>
      <c r="U51" s="151">
        <f t="shared" si="3"/>
        <v>0</v>
      </c>
      <c r="V51" s="140">
        <v>0</v>
      </c>
      <c r="W51" s="151">
        <f t="shared" si="4"/>
        <v>0</v>
      </c>
      <c r="X51" s="142">
        <v>0</v>
      </c>
      <c r="Y51" s="151">
        <f t="shared" si="5"/>
        <v>0</v>
      </c>
      <c r="Z51" s="146"/>
      <c r="AA51" s="155">
        <f t="shared" si="6"/>
        <v>0</v>
      </c>
      <c r="AB51" s="155">
        <f t="shared" si="13"/>
        <v>0</v>
      </c>
      <c r="AC51" s="149">
        <f t="shared" si="15"/>
        <v>0</v>
      </c>
      <c r="AD51" s="156">
        <f t="shared" si="12"/>
        <v>0</v>
      </c>
      <c r="AE51" s="148"/>
      <c r="AF51" s="148"/>
      <c r="AG51" s="149"/>
      <c r="AH51" s="149"/>
      <c r="AI51" s="150"/>
      <c r="AJ51" s="206">
        <f t="shared" si="11"/>
        <v>0</v>
      </c>
      <c r="AK51" s="149"/>
      <c r="AL51" s="149">
        <f t="shared" si="16"/>
        <v>0</v>
      </c>
      <c r="AM51" s="149"/>
      <c r="AN51" s="149"/>
    </row>
    <row r="52" spans="1:38" ht="15">
      <c r="A52" s="140">
        <v>10949</v>
      </c>
      <c r="B52" s="140">
        <v>48</v>
      </c>
      <c r="C52" s="215" t="s">
        <v>686</v>
      </c>
      <c r="D52" s="216" t="s">
        <v>685</v>
      </c>
      <c r="E52" s="191" t="s">
        <v>1243</v>
      </c>
      <c r="F52" s="188">
        <v>1</v>
      </c>
      <c r="G52" s="187" t="s">
        <v>1245</v>
      </c>
      <c r="H52" s="140">
        <v>500</v>
      </c>
      <c r="I52" s="140" t="s">
        <v>376</v>
      </c>
      <c r="J52" s="140">
        <v>5</v>
      </c>
      <c r="K52" s="142">
        <v>9</v>
      </c>
      <c r="L52" s="142">
        <v>4.800000000000001</v>
      </c>
      <c r="M52" s="143">
        <v>7</v>
      </c>
      <c r="N52" s="144">
        <v>2</v>
      </c>
      <c r="O52" s="143">
        <f t="shared" si="0"/>
        <v>5</v>
      </c>
      <c r="P52" s="140">
        <v>400</v>
      </c>
      <c r="Q52" s="159">
        <f t="shared" si="1"/>
        <v>2000</v>
      </c>
      <c r="R52" s="140"/>
      <c r="S52" s="151">
        <f t="shared" si="2"/>
        <v>0</v>
      </c>
      <c r="T52" s="140">
        <v>2</v>
      </c>
      <c r="U52" s="151">
        <f t="shared" si="3"/>
        <v>800</v>
      </c>
      <c r="V52" s="140">
        <v>0</v>
      </c>
      <c r="W52" s="151">
        <f t="shared" si="4"/>
        <v>0</v>
      </c>
      <c r="X52" s="140">
        <v>3</v>
      </c>
      <c r="Y52" s="151">
        <f t="shared" si="5"/>
        <v>1200</v>
      </c>
      <c r="Z52" s="146"/>
      <c r="AA52" s="155">
        <f t="shared" si="6"/>
        <v>5</v>
      </c>
      <c r="AB52" s="155">
        <f t="shared" si="13"/>
        <v>0</v>
      </c>
      <c r="AC52" s="149">
        <f t="shared" si="15"/>
        <v>1.25</v>
      </c>
      <c r="AD52" s="156">
        <f t="shared" si="12"/>
        <v>500</v>
      </c>
      <c r="AG52" s="149">
        <v>4</v>
      </c>
      <c r="AH52" s="149">
        <v>1600</v>
      </c>
      <c r="AI52" s="217" t="s">
        <v>1352</v>
      </c>
      <c r="AJ52" s="206">
        <f t="shared" si="11"/>
        <v>4.800000000000001</v>
      </c>
      <c r="AK52" s="214"/>
      <c r="AL52" s="149">
        <f t="shared" si="16"/>
        <v>0</v>
      </c>
    </row>
    <row r="53" spans="1:40" ht="15">
      <c r="A53" s="140">
        <v>10949</v>
      </c>
      <c r="B53" s="140">
        <v>49</v>
      </c>
      <c r="C53" s="212">
        <v>273636</v>
      </c>
      <c r="D53" s="147" t="s">
        <v>1281</v>
      </c>
      <c r="E53" s="191" t="s">
        <v>35</v>
      </c>
      <c r="F53" s="153">
        <v>1</v>
      </c>
      <c r="G53" s="154" t="s">
        <v>1251</v>
      </c>
      <c r="H53" s="140">
        <v>180</v>
      </c>
      <c r="I53" s="140" t="s">
        <v>1250</v>
      </c>
      <c r="J53" s="140">
        <v>3120</v>
      </c>
      <c r="K53" s="142">
        <v>3080</v>
      </c>
      <c r="L53" s="142">
        <v>2362.8</v>
      </c>
      <c r="M53" s="143">
        <v>3000</v>
      </c>
      <c r="N53" s="144">
        <v>200</v>
      </c>
      <c r="O53" s="143">
        <f t="shared" si="0"/>
        <v>2800</v>
      </c>
      <c r="P53" s="140">
        <v>12</v>
      </c>
      <c r="Q53" s="159">
        <f t="shared" si="1"/>
        <v>33600</v>
      </c>
      <c r="R53" s="140">
        <v>700</v>
      </c>
      <c r="S53" s="151">
        <f t="shared" si="2"/>
        <v>8400</v>
      </c>
      <c r="T53" s="142">
        <v>700</v>
      </c>
      <c r="U53" s="151">
        <f t="shared" si="3"/>
        <v>8400</v>
      </c>
      <c r="V53" s="140">
        <v>700</v>
      </c>
      <c r="W53" s="151">
        <f t="shared" si="4"/>
        <v>8400</v>
      </c>
      <c r="X53" s="142">
        <v>700</v>
      </c>
      <c r="Y53" s="151">
        <f t="shared" si="5"/>
        <v>8400</v>
      </c>
      <c r="Z53" s="215"/>
      <c r="AA53" s="155">
        <f t="shared" si="6"/>
        <v>2800</v>
      </c>
      <c r="AB53" s="155">
        <f t="shared" si="13"/>
        <v>0</v>
      </c>
      <c r="AC53" s="149">
        <f t="shared" si="15"/>
        <v>700</v>
      </c>
      <c r="AD53" s="156">
        <f t="shared" si="12"/>
        <v>8400</v>
      </c>
      <c r="AG53" s="149">
        <v>1969</v>
      </c>
      <c r="AH53" s="149">
        <v>23628</v>
      </c>
      <c r="AI53" s="150" t="s">
        <v>1355</v>
      </c>
      <c r="AJ53" s="206">
        <f t="shared" si="11"/>
        <v>2362.8</v>
      </c>
      <c r="AL53" s="149">
        <f t="shared" si="16"/>
        <v>0</v>
      </c>
      <c r="AM53" s="214"/>
      <c r="AN53" s="214"/>
    </row>
    <row r="54" spans="1:36" ht="15">
      <c r="A54" s="140">
        <v>10949</v>
      </c>
      <c r="B54" s="140">
        <v>50</v>
      </c>
      <c r="C54" s="146" t="s">
        <v>688</v>
      </c>
      <c r="D54" s="147" t="s">
        <v>687</v>
      </c>
      <c r="E54" s="152" t="s">
        <v>1368</v>
      </c>
      <c r="F54" s="140">
        <v>1</v>
      </c>
      <c r="G54" s="146" t="s">
        <v>1245</v>
      </c>
      <c r="H54" s="140">
        <v>100</v>
      </c>
      <c r="I54" s="140" t="s">
        <v>376</v>
      </c>
      <c r="J54" s="140">
        <v>48</v>
      </c>
      <c r="K54" s="142">
        <v>0</v>
      </c>
      <c r="L54" s="142">
        <v>116.39999999999999</v>
      </c>
      <c r="M54" s="143">
        <v>120</v>
      </c>
      <c r="N54" s="140">
        <v>0</v>
      </c>
      <c r="O54" s="143">
        <f t="shared" si="0"/>
        <v>120</v>
      </c>
      <c r="P54" s="140">
        <v>450</v>
      </c>
      <c r="Q54" s="159">
        <f t="shared" si="1"/>
        <v>54000</v>
      </c>
      <c r="R54" s="140">
        <v>30</v>
      </c>
      <c r="S54" s="151">
        <f t="shared" si="2"/>
        <v>13500</v>
      </c>
      <c r="T54" s="140">
        <v>30</v>
      </c>
      <c r="U54" s="151">
        <f t="shared" si="3"/>
        <v>13500</v>
      </c>
      <c r="V54" s="140">
        <v>30</v>
      </c>
      <c r="W54" s="151">
        <f t="shared" si="4"/>
        <v>13500</v>
      </c>
      <c r="X54" s="140">
        <v>30</v>
      </c>
      <c r="Y54" s="151">
        <f t="shared" si="5"/>
        <v>13500</v>
      </c>
      <c r="Z54" s="146"/>
      <c r="AA54" s="155">
        <f t="shared" si="6"/>
        <v>120</v>
      </c>
      <c r="AB54" s="155">
        <f t="shared" si="13"/>
        <v>0</v>
      </c>
      <c r="AC54" s="149">
        <f t="shared" si="15"/>
        <v>30</v>
      </c>
      <c r="AD54" s="156">
        <f t="shared" si="12"/>
        <v>13500</v>
      </c>
      <c r="AG54" s="149">
        <v>97</v>
      </c>
      <c r="AH54" s="149">
        <v>43650</v>
      </c>
      <c r="AI54" s="150" t="s">
        <v>1352</v>
      </c>
      <c r="AJ54" s="206">
        <f t="shared" si="11"/>
        <v>116.39999999999999</v>
      </c>
    </row>
    <row r="55" spans="1:38" ht="15">
      <c r="A55" s="140">
        <v>10949</v>
      </c>
      <c r="B55" s="140">
        <v>51</v>
      </c>
      <c r="C55" s="146"/>
      <c r="D55" s="147"/>
      <c r="E55" s="191" t="s">
        <v>1305</v>
      </c>
      <c r="F55" s="153">
        <v>1</v>
      </c>
      <c r="G55" s="154" t="s">
        <v>1257</v>
      </c>
      <c r="H55" s="140">
        <v>60</v>
      </c>
      <c r="I55" s="140" t="s">
        <v>1250</v>
      </c>
      <c r="J55" s="140">
        <v>12</v>
      </c>
      <c r="K55" s="142">
        <v>0</v>
      </c>
      <c r="L55" s="142">
        <v>43.2</v>
      </c>
      <c r="M55" s="143">
        <v>0</v>
      </c>
      <c r="N55" s="144">
        <v>0</v>
      </c>
      <c r="O55" s="143">
        <v>0</v>
      </c>
      <c r="P55" s="140">
        <v>19</v>
      </c>
      <c r="Q55" s="159">
        <f t="shared" si="1"/>
        <v>0</v>
      </c>
      <c r="R55" s="137">
        <v>0</v>
      </c>
      <c r="S55" s="151">
        <f t="shared" si="2"/>
        <v>0</v>
      </c>
      <c r="T55" s="142">
        <v>0</v>
      </c>
      <c r="U55" s="151">
        <f t="shared" si="3"/>
        <v>0</v>
      </c>
      <c r="V55" s="140">
        <v>0</v>
      </c>
      <c r="W55" s="151">
        <f t="shared" si="4"/>
        <v>0</v>
      </c>
      <c r="X55" s="142">
        <v>0</v>
      </c>
      <c r="Y55" s="151">
        <f t="shared" si="5"/>
        <v>0</v>
      </c>
      <c r="Z55" s="146"/>
      <c r="AA55" s="155">
        <f t="shared" si="6"/>
        <v>0</v>
      </c>
      <c r="AB55" s="155">
        <f t="shared" si="13"/>
        <v>0</v>
      </c>
      <c r="AC55" s="149">
        <f aca="true" t="shared" si="17" ref="AC55:AC83">O55/4</f>
        <v>0</v>
      </c>
      <c r="AD55" s="156">
        <f t="shared" si="12"/>
        <v>0</v>
      </c>
      <c r="AG55" s="149">
        <v>36</v>
      </c>
      <c r="AH55" s="149">
        <v>247.17</v>
      </c>
      <c r="AI55" s="150" t="s">
        <v>1352</v>
      </c>
      <c r="AJ55" s="206">
        <f t="shared" si="11"/>
        <v>43.2</v>
      </c>
      <c r="AL55" s="149">
        <f aca="true" t="shared" si="18" ref="AL55:AL82">AK55/H55</f>
        <v>0</v>
      </c>
    </row>
    <row r="56" spans="1:38" ht="15">
      <c r="A56" s="140">
        <v>10949</v>
      </c>
      <c r="B56" s="140">
        <v>52</v>
      </c>
      <c r="C56" s="212">
        <v>881738</v>
      </c>
      <c r="D56" s="147" t="s">
        <v>1323</v>
      </c>
      <c r="E56" s="191" t="s">
        <v>36</v>
      </c>
      <c r="F56" s="153">
        <v>1</v>
      </c>
      <c r="G56" s="154" t="s">
        <v>1256</v>
      </c>
      <c r="H56" s="140">
        <v>1</v>
      </c>
      <c r="I56" s="140" t="s">
        <v>378</v>
      </c>
      <c r="J56" s="140">
        <v>1970</v>
      </c>
      <c r="K56" s="142">
        <v>1540</v>
      </c>
      <c r="L56" s="142">
        <v>1404</v>
      </c>
      <c r="M56" s="143">
        <v>1720</v>
      </c>
      <c r="N56" s="144">
        <v>520</v>
      </c>
      <c r="O56" s="143">
        <f t="shared" si="0"/>
        <v>1200</v>
      </c>
      <c r="P56" s="140">
        <v>17</v>
      </c>
      <c r="Q56" s="159">
        <f t="shared" si="1"/>
        <v>20400</v>
      </c>
      <c r="R56" s="140">
        <v>300</v>
      </c>
      <c r="S56" s="151">
        <f t="shared" si="2"/>
        <v>5100</v>
      </c>
      <c r="T56" s="142">
        <v>300</v>
      </c>
      <c r="U56" s="151">
        <f t="shared" si="3"/>
        <v>5100</v>
      </c>
      <c r="V56" s="140">
        <v>300</v>
      </c>
      <c r="W56" s="151">
        <f t="shared" si="4"/>
        <v>5100</v>
      </c>
      <c r="X56" s="142">
        <v>300</v>
      </c>
      <c r="Y56" s="151">
        <f t="shared" si="5"/>
        <v>5100</v>
      </c>
      <c r="Z56" s="146"/>
      <c r="AA56" s="155">
        <f t="shared" si="6"/>
        <v>1200</v>
      </c>
      <c r="AB56" s="155">
        <f t="shared" si="13"/>
        <v>0</v>
      </c>
      <c r="AC56" s="149">
        <f t="shared" si="17"/>
        <v>300</v>
      </c>
      <c r="AD56" s="156">
        <f t="shared" si="12"/>
        <v>5100</v>
      </c>
      <c r="AG56" s="149">
        <v>1170</v>
      </c>
      <c r="AH56" s="149">
        <v>18490</v>
      </c>
      <c r="AI56" s="150" t="s">
        <v>1356</v>
      </c>
      <c r="AJ56" s="206">
        <f t="shared" si="11"/>
        <v>1404</v>
      </c>
      <c r="AL56" s="149">
        <f t="shared" si="18"/>
        <v>0</v>
      </c>
    </row>
    <row r="57" spans="1:38" ht="15">
      <c r="A57" s="140">
        <v>10949</v>
      </c>
      <c r="B57" s="140">
        <v>53</v>
      </c>
      <c r="C57" s="146">
        <v>543096</v>
      </c>
      <c r="D57" s="147" t="s">
        <v>689</v>
      </c>
      <c r="E57" s="152" t="s">
        <v>462</v>
      </c>
      <c r="F57" s="153">
        <v>1</v>
      </c>
      <c r="G57" s="154" t="s">
        <v>1256</v>
      </c>
      <c r="H57" s="140">
        <v>1</v>
      </c>
      <c r="I57" s="140" t="s">
        <v>378</v>
      </c>
      <c r="J57" s="140">
        <v>5040</v>
      </c>
      <c r="K57" s="142">
        <v>5850</v>
      </c>
      <c r="L57" s="142">
        <v>4970.4</v>
      </c>
      <c r="M57" s="143">
        <v>5550</v>
      </c>
      <c r="N57" s="144">
        <v>750</v>
      </c>
      <c r="O57" s="143">
        <f t="shared" si="0"/>
        <v>4800</v>
      </c>
      <c r="P57" s="140">
        <v>20</v>
      </c>
      <c r="Q57" s="159">
        <f t="shared" si="1"/>
        <v>96000</v>
      </c>
      <c r="R57" s="140">
        <v>1200</v>
      </c>
      <c r="S57" s="151">
        <f t="shared" si="2"/>
        <v>24000</v>
      </c>
      <c r="T57" s="142">
        <v>1200</v>
      </c>
      <c r="U57" s="151">
        <f t="shared" si="3"/>
        <v>24000</v>
      </c>
      <c r="V57" s="140">
        <v>1200</v>
      </c>
      <c r="W57" s="151">
        <f t="shared" si="4"/>
        <v>24000</v>
      </c>
      <c r="X57" s="142">
        <v>1200</v>
      </c>
      <c r="Y57" s="151">
        <f t="shared" si="5"/>
        <v>24000</v>
      </c>
      <c r="Z57" s="146"/>
      <c r="AA57" s="155">
        <f t="shared" si="6"/>
        <v>4800</v>
      </c>
      <c r="AB57" s="155">
        <f t="shared" si="13"/>
        <v>0</v>
      </c>
      <c r="AC57" s="149">
        <f t="shared" si="17"/>
        <v>1200</v>
      </c>
      <c r="AD57" s="156">
        <f t="shared" si="12"/>
        <v>24000</v>
      </c>
      <c r="AG57" s="149">
        <v>4142</v>
      </c>
      <c r="AH57" s="149">
        <v>69167.7</v>
      </c>
      <c r="AI57" s="150" t="s">
        <v>1355</v>
      </c>
      <c r="AJ57" s="206">
        <f t="shared" si="11"/>
        <v>4970.4</v>
      </c>
      <c r="AL57" s="149">
        <f t="shared" si="18"/>
        <v>0</v>
      </c>
    </row>
    <row r="58" spans="1:38" ht="15">
      <c r="A58" s="140">
        <v>10949</v>
      </c>
      <c r="B58" s="140">
        <v>54</v>
      </c>
      <c r="C58" s="146">
        <v>548062</v>
      </c>
      <c r="D58" s="147" t="s">
        <v>690</v>
      </c>
      <c r="E58" s="191" t="s">
        <v>37</v>
      </c>
      <c r="F58" s="153">
        <v>1</v>
      </c>
      <c r="G58" s="154" t="s">
        <v>1256</v>
      </c>
      <c r="H58" s="140">
        <v>1</v>
      </c>
      <c r="I58" s="140" t="s">
        <v>378</v>
      </c>
      <c r="J58" s="140">
        <v>16200</v>
      </c>
      <c r="K58" s="142">
        <v>15705</v>
      </c>
      <c r="L58" s="142">
        <v>10362</v>
      </c>
      <c r="M58" s="143">
        <v>15000</v>
      </c>
      <c r="N58" s="144">
        <v>3000</v>
      </c>
      <c r="O58" s="143">
        <f t="shared" si="0"/>
        <v>12000</v>
      </c>
      <c r="P58" s="140">
        <v>10</v>
      </c>
      <c r="Q58" s="159">
        <f t="shared" si="1"/>
        <v>120000</v>
      </c>
      <c r="R58" s="140">
        <v>3000</v>
      </c>
      <c r="S58" s="151">
        <f t="shared" si="2"/>
        <v>30000</v>
      </c>
      <c r="T58" s="142">
        <v>3000</v>
      </c>
      <c r="U58" s="151">
        <f t="shared" si="3"/>
        <v>30000</v>
      </c>
      <c r="V58" s="140">
        <v>3000</v>
      </c>
      <c r="W58" s="151">
        <f t="shared" si="4"/>
        <v>30000</v>
      </c>
      <c r="X58" s="142">
        <v>3000</v>
      </c>
      <c r="Y58" s="151">
        <f t="shared" si="5"/>
        <v>30000</v>
      </c>
      <c r="Z58" s="146"/>
      <c r="AA58" s="155">
        <f t="shared" si="6"/>
        <v>12000</v>
      </c>
      <c r="AB58" s="155">
        <f t="shared" si="13"/>
        <v>0</v>
      </c>
      <c r="AC58" s="149">
        <f t="shared" si="17"/>
        <v>3000</v>
      </c>
      <c r="AD58" s="156">
        <f t="shared" si="12"/>
        <v>30000</v>
      </c>
      <c r="AG58" s="149">
        <v>8635</v>
      </c>
      <c r="AH58" s="149">
        <v>74423.16999999997</v>
      </c>
      <c r="AI58" s="150" t="s">
        <v>1355</v>
      </c>
      <c r="AJ58" s="206">
        <f t="shared" si="11"/>
        <v>10362</v>
      </c>
      <c r="AL58" s="149">
        <f t="shared" si="18"/>
        <v>0</v>
      </c>
    </row>
    <row r="59" spans="1:38" ht="15">
      <c r="A59" s="140">
        <v>10949</v>
      </c>
      <c r="B59" s="140">
        <v>55</v>
      </c>
      <c r="C59" s="146" t="s">
        <v>692</v>
      </c>
      <c r="D59" s="147" t="s">
        <v>691</v>
      </c>
      <c r="E59" s="191" t="s">
        <v>216</v>
      </c>
      <c r="F59" s="153">
        <v>1</v>
      </c>
      <c r="G59" s="154" t="s">
        <v>1245</v>
      </c>
      <c r="H59" s="153">
        <v>500</v>
      </c>
      <c r="I59" s="153" t="s">
        <v>376</v>
      </c>
      <c r="J59" s="140">
        <v>52</v>
      </c>
      <c r="K59" s="142">
        <v>53</v>
      </c>
      <c r="L59" s="142">
        <v>46.8</v>
      </c>
      <c r="M59" s="143">
        <v>50</v>
      </c>
      <c r="N59" s="144">
        <v>10</v>
      </c>
      <c r="O59" s="143">
        <f t="shared" si="0"/>
        <v>40</v>
      </c>
      <c r="P59" s="140">
        <v>160.5</v>
      </c>
      <c r="Q59" s="159">
        <f t="shared" si="1"/>
        <v>6420</v>
      </c>
      <c r="R59" s="140">
        <v>10</v>
      </c>
      <c r="S59" s="151">
        <f t="shared" si="2"/>
        <v>1605</v>
      </c>
      <c r="T59" s="142">
        <v>10</v>
      </c>
      <c r="U59" s="151">
        <f t="shared" si="3"/>
        <v>1605</v>
      </c>
      <c r="V59" s="140">
        <v>10</v>
      </c>
      <c r="W59" s="151">
        <f t="shared" si="4"/>
        <v>1605</v>
      </c>
      <c r="X59" s="142">
        <v>10</v>
      </c>
      <c r="Y59" s="151">
        <f t="shared" si="5"/>
        <v>1605</v>
      </c>
      <c r="Z59" s="146"/>
      <c r="AA59" s="155">
        <f t="shared" si="6"/>
        <v>40</v>
      </c>
      <c r="AB59" s="155">
        <f t="shared" si="13"/>
        <v>0</v>
      </c>
      <c r="AC59" s="149">
        <f t="shared" si="17"/>
        <v>10</v>
      </c>
      <c r="AD59" s="156">
        <f t="shared" si="12"/>
        <v>1605</v>
      </c>
      <c r="AG59" s="149">
        <v>39</v>
      </c>
      <c r="AH59" s="149">
        <v>6069.8</v>
      </c>
      <c r="AI59" s="150" t="s">
        <v>1356</v>
      </c>
      <c r="AJ59" s="206">
        <f t="shared" si="11"/>
        <v>46.8</v>
      </c>
      <c r="AL59" s="149">
        <f t="shared" si="18"/>
        <v>0</v>
      </c>
    </row>
    <row r="60" spans="1:38" ht="15">
      <c r="A60" s="140">
        <v>10949</v>
      </c>
      <c r="B60" s="140">
        <v>56</v>
      </c>
      <c r="C60" s="146" t="s">
        <v>694</v>
      </c>
      <c r="D60" s="147" t="s">
        <v>693</v>
      </c>
      <c r="E60" s="191" t="s">
        <v>38</v>
      </c>
      <c r="F60" s="153">
        <v>1</v>
      </c>
      <c r="G60" s="154" t="s">
        <v>1261</v>
      </c>
      <c r="H60" s="140">
        <v>5</v>
      </c>
      <c r="I60" s="140" t="s">
        <v>1238</v>
      </c>
      <c r="J60" s="140">
        <v>471</v>
      </c>
      <c r="K60" s="142">
        <v>249</v>
      </c>
      <c r="L60" s="142">
        <v>207.60000000000002</v>
      </c>
      <c r="M60" s="143">
        <v>325</v>
      </c>
      <c r="N60" s="144">
        <v>145</v>
      </c>
      <c r="O60" s="143">
        <f t="shared" si="0"/>
        <v>180</v>
      </c>
      <c r="P60" s="140">
        <v>14.5</v>
      </c>
      <c r="Q60" s="159">
        <f t="shared" si="1"/>
        <v>2610</v>
      </c>
      <c r="R60" s="140">
        <v>0</v>
      </c>
      <c r="S60" s="151">
        <f t="shared" si="2"/>
        <v>0</v>
      </c>
      <c r="T60" s="142">
        <v>0</v>
      </c>
      <c r="U60" s="151">
        <f t="shared" si="3"/>
        <v>0</v>
      </c>
      <c r="V60" s="140">
        <v>180</v>
      </c>
      <c r="W60" s="151">
        <f t="shared" si="4"/>
        <v>2610</v>
      </c>
      <c r="X60" s="142">
        <v>0</v>
      </c>
      <c r="Y60" s="151">
        <f t="shared" si="5"/>
        <v>0</v>
      </c>
      <c r="Z60" s="146"/>
      <c r="AA60" s="155">
        <f t="shared" si="6"/>
        <v>180</v>
      </c>
      <c r="AB60" s="155">
        <f t="shared" si="13"/>
        <v>0</v>
      </c>
      <c r="AC60" s="149">
        <f t="shared" si="17"/>
        <v>45</v>
      </c>
      <c r="AD60" s="156">
        <f t="shared" si="12"/>
        <v>652.5</v>
      </c>
      <c r="AG60" s="149">
        <v>173</v>
      </c>
      <c r="AH60" s="149">
        <v>2554.1</v>
      </c>
      <c r="AI60" s="150" t="s">
        <v>1352</v>
      </c>
      <c r="AJ60" s="206">
        <f t="shared" si="11"/>
        <v>207.60000000000002</v>
      </c>
      <c r="AL60" s="149">
        <f t="shared" si="18"/>
        <v>0</v>
      </c>
    </row>
    <row r="61" spans="1:38" ht="15">
      <c r="A61" s="140">
        <v>10949</v>
      </c>
      <c r="B61" s="140">
        <v>57</v>
      </c>
      <c r="C61" s="146" t="s">
        <v>696</v>
      </c>
      <c r="D61" s="147" t="s">
        <v>695</v>
      </c>
      <c r="E61" s="152" t="s">
        <v>491</v>
      </c>
      <c r="F61" s="153">
        <v>1</v>
      </c>
      <c r="G61" s="146" t="s">
        <v>1245</v>
      </c>
      <c r="H61" s="140">
        <v>1000</v>
      </c>
      <c r="I61" s="140" t="s">
        <v>376</v>
      </c>
      <c r="J61" s="140">
        <v>0</v>
      </c>
      <c r="K61" s="142">
        <v>0</v>
      </c>
      <c r="L61" s="142">
        <v>0</v>
      </c>
      <c r="M61" s="143">
        <v>0</v>
      </c>
      <c r="N61" s="144">
        <v>0</v>
      </c>
      <c r="O61" s="143">
        <f t="shared" si="0"/>
        <v>0</v>
      </c>
      <c r="P61" s="159">
        <v>107</v>
      </c>
      <c r="Q61" s="159">
        <f t="shared" si="1"/>
        <v>0</v>
      </c>
      <c r="R61" s="140">
        <v>0</v>
      </c>
      <c r="S61" s="151">
        <f t="shared" si="2"/>
        <v>0</v>
      </c>
      <c r="T61" s="142">
        <v>0</v>
      </c>
      <c r="U61" s="151">
        <f t="shared" si="3"/>
        <v>0</v>
      </c>
      <c r="V61" s="140">
        <v>0</v>
      </c>
      <c r="W61" s="151">
        <f t="shared" si="4"/>
        <v>0</v>
      </c>
      <c r="X61" s="142">
        <v>0</v>
      </c>
      <c r="Y61" s="151">
        <f t="shared" si="5"/>
        <v>0</v>
      </c>
      <c r="Z61" s="146"/>
      <c r="AA61" s="155">
        <f t="shared" si="6"/>
        <v>0</v>
      </c>
      <c r="AB61" s="155">
        <f t="shared" si="13"/>
        <v>0</v>
      </c>
      <c r="AC61" s="149">
        <f t="shared" si="17"/>
        <v>0</v>
      </c>
      <c r="AD61" s="156">
        <f t="shared" si="12"/>
        <v>0</v>
      </c>
      <c r="AJ61" s="206">
        <f t="shared" si="11"/>
        <v>0</v>
      </c>
      <c r="AL61" s="149">
        <f t="shared" si="18"/>
        <v>0</v>
      </c>
    </row>
    <row r="62" spans="1:38" ht="15">
      <c r="A62" s="140">
        <v>10949</v>
      </c>
      <c r="B62" s="140">
        <v>58</v>
      </c>
      <c r="C62" s="146" t="s">
        <v>698</v>
      </c>
      <c r="D62" s="147" t="s">
        <v>697</v>
      </c>
      <c r="E62" s="152" t="s">
        <v>457</v>
      </c>
      <c r="F62" s="153">
        <v>2</v>
      </c>
      <c r="G62" s="146" t="s">
        <v>1247</v>
      </c>
      <c r="H62" s="140">
        <v>200</v>
      </c>
      <c r="I62" s="140" t="s">
        <v>1238</v>
      </c>
      <c r="J62" s="140">
        <v>32</v>
      </c>
      <c r="K62" s="142">
        <v>2</v>
      </c>
      <c r="L62" s="142">
        <v>12</v>
      </c>
      <c r="M62" s="143">
        <v>12</v>
      </c>
      <c r="N62" s="144">
        <v>0</v>
      </c>
      <c r="O62" s="143">
        <f t="shared" si="0"/>
        <v>12</v>
      </c>
      <c r="P62" s="140">
        <v>220</v>
      </c>
      <c r="Q62" s="159">
        <f t="shared" si="1"/>
        <v>2640</v>
      </c>
      <c r="R62" s="140">
        <v>0</v>
      </c>
      <c r="S62" s="151">
        <f t="shared" si="2"/>
        <v>0</v>
      </c>
      <c r="T62" s="142">
        <v>0</v>
      </c>
      <c r="U62" s="151">
        <f t="shared" si="3"/>
        <v>0</v>
      </c>
      <c r="V62" s="140">
        <v>12</v>
      </c>
      <c r="W62" s="151">
        <f t="shared" si="4"/>
        <v>2640</v>
      </c>
      <c r="X62" s="142">
        <v>0</v>
      </c>
      <c r="Y62" s="151">
        <f t="shared" si="5"/>
        <v>0</v>
      </c>
      <c r="Z62" s="146"/>
      <c r="AA62" s="155">
        <f t="shared" si="6"/>
        <v>12</v>
      </c>
      <c r="AB62" s="155">
        <f t="shared" si="13"/>
        <v>0</v>
      </c>
      <c r="AC62" s="149">
        <f t="shared" si="17"/>
        <v>3</v>
      </c>
      <c r="AD62" s="156">
        <f t="shared" si="12"/>
        <v>660</v>
      </c>
      <c r="AG62" s="149">
        <v>10</v>
      </c>
      <c r="AH62" s="149">
        <v>2200</v>
      </c>
      <c r="AJ62" s="206">
        <f t="shared" si="11"/>
        <v>12</v>
      </c>
      <c r="AL62" s="149">
        <f t="shared" si="18"/>
        <v>0</v>
      </c>
    </row>
    <row r="63" spans="1:36" ht="15">
      <c r="A63" s="140">
        <v>10949</v>
      </c>
      <c r="B63" s="140">
        <v>59</v>
      </c>
      <c r="C63" s="146"/>
      <c r="D63" s="147"/>
      <c r="E63" s="152" t="s">
        <v>1427</v>
      </c>
      <c r="F63" s="153">
        <v>1</v>
      </c>
      <c r="G63" s="154" t="s">
        <v>1257</v>
      </c>
      <c r="H63" s="140">
        <v>60</v>
      </c>
      <c r="I63" s="140" t="s">
        <v>1250</v>
      </c>
      <c r="J63" s="140">
        <v>0</v>
      </c>
      <c r="K63" s="142">
        <v>8</v>
      </c>
      <c r="L63" s="142">
        <v>0</v>
      </c>
      <c r="M63" s="143">
        <v>0</v>
      </c>
      <c r="N63" s="144">
        <v>0</v>
      </c>
      <c r="O63" s="143">
        <v>0</v>
      </c>
      <c r="P63" s="140">
        <v>35</v>
      </c>
      <c r="Q63" s="159">
        <f t="shared" si="1"/>
        <v>0</v>
      </c>
      <c r="R63" s="140">
        <v>0</v>
      </c>
      <c r="S63" s="151">
        <f t="shared" si="2"/>
        <v>0</v>
      </c>
      <c r="T63" s="142">
        <v>0</v>
      </c>
      <c r="U63" s="151">
        <f t="shared" si="3"/>
        <v>0</v>
      </c>
      <c r="V63" s="140">
        <v>0</v>
      </c>
      <c r="W63" s="151">
        <f t="shared" si="4"/>
        <v>0</v>
      </c>
      <c r="X63" s="142">
        <v>0</v>
      </c>
      <c r="Y63" s="151">
        <f t="shared" si="5"/>
        <v>0</v>
      </c>
      <c r="Z63" s="146"/>
      <c r="AA63" s="155">
        <f>R63+T63+V63+X63</f>
        <v>0</v>
      </c>
      <c r="AB63" s="155">
        <f>O63-AA63</f>
        <v>0</v>
      </c>
      <c r="AC63" s="149">
        <f>O63/4</f>
        <v>0</v>
      </c>
      <c r="AD63" s="156"/>
      <c r="AJ63" s="206">
        <f t="shared" si="11"/>
        <v>0</v>
      </c>
    </row>
    <row r="64" spans="1:38" ht="15">
      <c r="A64" s="140">
        <v>10949</v>
      </c>
      <c r="B64" s="140">
        <v>60</v>
      </c>
      <c r="C64" s="212">
        <v>838145</v>
      </c>
      <c r="D64" s="216" t="s">
        <v>1220</v>
      </c>
      <c r="E64" s="152" t="s">
        <v>1427</v>
      </c>
      <c r="F64" s="153">
        <v>1</v>
      </c>
      <c r="G64" s="154" t="s">
        <v>1257</v>
      </c>
      <c r="H64" s="140">
        <v>450</v>
      </c>
      <c r="I64" s="140" t="s">
        <v>1250</v>
      </c>
      <c r="J64" s="140">
        <v>0</v>
      </c>
      <c r="K64" s="142">
        <v>0</v>
      </c>
      <c r="L64" s="142">
        <v>0</v>
      </c>
      <c r="M64" s="143">
        <v>0</v>
      </c>
      <c r="N64" s="144">
        <v>0</v>
      </c>
      <c r="O64" s="143">
        <f t="shared" si="0"/>
        <v>0</v>
      </c>
      <c r="P64" s="140">
        <v>150</v>
      </c>
      <c r="Q64" s="159">
        <f t="shared" si="1"/>
        <v>0</v>
      </c>
      <c r="R64" s="140">
        <v>0</v>
      </c>
      <c r="S64" s="151">
        <f t="shared" si="2"/>
        <v>0</v>
      </c>
      <c r="T64" s="142">
        <v>0</v>
      </c>
      <c r="U64" s="151">
        <f t="shared" si="3"/>
        <v>0</v>
      </c>
      <c r="V64" s="140">
        <v>0</v>
      </c>
      <c r="W64" s="151">
        <f t="shared" si="4"/>
        <v>0</v>
      </c>
      <c r="X64" s="142">
        <v>0</v>
      </c>
      <c r="Y64" s="151">
        <f t="shared" si="5"/>
        <v>0</v>
      </c>
      <c r="Z64" s="146"/>
      <c r="AA64" s="155">
        <f>R64+T64+V64+X64</f>
        <v>0</v>
      </c>
      <c r="AB64" s="155">
        <f>O64-AA64</f>
        <v>0</v>
      </c>
      <c r="AC64" s="149">
        <f>O64/4</f>
        <v>0</v>
      </c>
      <c r="AD64" s="156"/>
      <c r="AJ64" s="206">
        <f t="shared" si="11"/>
        <v>0</v>
      </c>
      <c r="AL64" s="149">
        <f t="shared" si="18"/>
        <v>0</v>
      </c>
    </row>
    <row r="65" spans="1:38" ht="15">
      <c r="A65" s="140">
        <v>10949</v>
      </c>
      <c r="B65" s="140">
        <v>61</v>
      </c>
      <c r="C65" s="212"/>
      <c r="D65" s="216"/>
      <c r="E65" s="191" t="s">
        <v>39</v>
      </c>
      <c r="F65" s="153">
        <v>1</v>
      </c>
      <c r="G65" s="154" t="s">
        <v>1257</v>
      </c>
      <c r="H65" s="140">
        <v>5000</v>
      </c>
      <c r="I65" s="140" t="s">
        <v>1250</v>
      </c>
      <c r="J65" s="140">
        <v>12</v>
      </c>
      <c r="K65" s="142">
        <v>3</v>
      </c>
      <c r="L65" s="142">
        <v>10.8</v>
      </c>
      <c r="M65" s="143">
        <v>10</v>
      </c>
      <c r="N65" s="144">
        <v>2</v>
      </c>
      <c r="O65" s="143">
        <f t="shared" si="0"/>
        <v>8</v>
      </c>
      <c r="P65" s="140">
        <v>680</v>
      </c>
      <c r="Q65" s="159">
        <f t="shared" si="1"/>
        <v>5440</v>
      </c>
      <c r="R65" s="140">
        <v>4</v>
      </c>
      <c r="S65" s="151">
        <f t="shared" si="2"/>
        <v>2720</v>
      </c>
      <c r="T65" s="142">
        <v>0</v>
      </c>
      <c r="U65" s="151">
        <f t="shared" si="3"/>
        <v>0</v>
      </c>
      <c r="V65" s="140">
        <v>4</v>
      </c>
      <c r="W65" s="151">
        <f t="shared" si="4"/>
        <v>2720</v>
      </c>
      <c r="X65" s="142">
        <v>0</v>
      </c>
      <c r="Y65" s="151">
        <f t="shared" si="5"/>
        <v>0</v>
      </c>
      <c r="Z65" s="146"/>
      <c r="AA65" s="155">
        <f t="shared" si="6"/>
        <v>8</v>
      </c>
      <c r="AB65" s="155">
        <f aca="true" t="shared" si="19" ref="AB65:AB136">O65-AA65</f>
        <v>0</v>
      </c>
      <c r="AC65" s="149">
        <f t="shared" si="17"/>
        <v>2</v>
      </c>
      <c r="AD65" s="156">
        <f aca="true" t="shared" si="20" ref="AD65:AD98">Q65/4</f>
        <v>1360</v>
      </c>
      <c r="AG65" s="149">
        <v>9</v>
      </c>
      <c r="AH65" s="149">
        <v>6118.349999999999</v>
      </c>
      <c r="AI65" s="150" t="s">
        <v>1352</v>
      </c>
      <c r="AJ65" s="206">
        <f t="shared" si="11"/>
        <v>10.8</v>
      </c>
      <c r="AL65" s="149">
        <f t="shared" si="18"/>
        <v>0</v>
      </c>
    </row>
    <row r="66" spans="1:38" ht="15">
      <c r="A66" s="140">
        <v>10949</v>
      </c>
      <c r="B66" s="140">
        <v>62</v>
      </c>
      <c r="C66" s="146" t="s">
        <v>700</v>
      </c>
      <c r="D66" s="147" t="s">
        <v>699</v>
      </c>
      <c r="E66" s="191" t="s">
        <v>39</v>
      </c>
      <c r="F66" s="153">
        <v>1</v>
      </c>
      <c r="G66" s="154" t="s">
        <v>1257</v>
      </c>
      <c r="H66" s="140">
        <v>450</v>
      </c>
      <c r="I66" s="140" t="s">
        <v>1250</v>
      </c>
      <c r="J66" s="140">
        <v>69</v>
      </c>
      <c r="K66" s="142">
        <v>101</v>
      </c>
      <c r="L66" s="142">
        <v>88.80000000000001</v>
      </c>
      <c r="M66" s="143">
        <v>96</v>
      </c>
      <c r="N66" s="144">
        <v>0</v>
      </c>
      <c r="O66" s="143">
        <f t="shared" si="0"/>
        <v>96</v>
      </c>
      <c r="P66" s="140">
        <v>120</v>
      </c>
      <c r="Q66" s="159">
        <f t="shared" si="1"/>
        <v>11520</v>
      </c>
      <c r="R66" s="140">
        <v>24</v>
      </c>
      <c r="S66" s="151">
        <f t="shared" si="2"/>
        <v>2880</v>
      </c>
      <c r="T66" s="140">
        <v>24</v>
      </c>
      <c r="U66" s="151">
        <f t="shared" si="3"/>
        <v>2880</v>
      </c>
      <c r="V66" s="140">
        <v>24</v>
      </c>
      <c r="W66" s="151">
        <f t="shared" si="4"/>
        <v>2880</v>
      </c>
      <c r="X66" s="140">
        <v>24</v>
      </c>
      <c r="Y66" s="151">
        <f t="shared" si="5"/>
        <v>2880</v>
      </c>
      <c r="Z66" s="146"/>
      <c r="AA66" s="155">
        <f t="shared" si="6"/>
        <v>96</v>
      </c>
      <c r="AB66" s="155">
        <f t="shared" si="19"/>
        <v>0</v>
      </c>
      <c r="AC66" s="149">
        <f t="shared" si="17"/>
        <v>24</v>
      </c>
      <c r="AD66" s="156">
        <f t="shared" si="20"/>
        <v>2880</v>
      </c>
      <c r="AG66" s="149">
        <v>74</v>
      </c>
      <c r="AH66" s="149">
        <v>4671.620000000001</v>
      </c>
      <c r="AI66" s="150" t="s">
        <v>1352</v>
      </c>
      <c r="AJ66" s="206">
        <f t="shared" si="11"/>
        <v>88.80000000000001</v>
      </c>
      <c r="AL66" s="149">
        <f t="shared" si="18"/>
        <v>0</v>
      </c>
    </row>
    <row r="67" spans="1:38" ht="15">
      <c r="A67" s="130" t="s">
        <v>1199</v>
      </c>
      <c r="B67" s="130" t="s">
        <v>2</v>
      </c>
      <c r="C67" s="130" t="s">
        <v>1200</v>
      </c>
      <c r="D67" s="198" t="s">
        <v>1201</v>
      </c>
      <c r="E67" s="134" t="s">
        <v>1285</v>
      </c>
      <c r="F67" s="134" t="s">
        <v>1295</v>
      </c>
      <c r="G67" s="134" t="s">
        <v>1202</v>
      </c>
      <c r="H67" s="130" t="s">
        <v>1579</v>
      </c>
      <c r="I67" s="130" t="s">
        <v>1203</v>
      </c>
      <c r="J67" s="199"/>
      <c r="K67" s="131" t="s">
        <v>1205</v>
      </c>
      <c r="L67" s="132"/>
      <c r="M67" s="133" t="s">
        <v>0</v>
      </c>
      <c r="N67" s="134" t="s">
        <v>1214</v>
      </c>
      <c r="O67" s="133" t="s">
        <v>0</v>
      </c>
      <c r="P67" s="130" t="s">
        <v>1390</v>
      </c>
      <c r="Q67" s="200" t="s">
        <v>1206</v>
      </c>
      <c r="R67" s="201" t="s">
        <v>1289</v>
      </c>
      <c r="S67" s="132"/>
      <c r="T67" s="201" t="s">
        <v>1290</v>
      </c>
      <c r="U67" s="202"/>
      <c r="V67" s="201" t="s">
        <v>1291</v>
      </c>
      <c r="W67" s="132"/>
      <c r="X67" s="201" t="s">
        <v>1292</v>
      </c>
      <c r="Y67" s="202"/>
      <c r="Z67" s="203" t="s">
        <v>608</v>
      </c>
      <c r="AA67" s="204"/>
      <c r="AB67" s="204"/>
      <c r="AC67" s="149" t="s">
        <v>1318</v>
      </c>
      <c r="AD67" s="149" t="s">
        <v>1389</v>
      </c>
      <c r="AE67" s="205" t="s">
        <v>3</v>
      </c>
      <c r="AF67" s="205" t="s">
        <v>1349</v>
      </c>
      <c r="AG67" s="149" t="s">
        <v>1297</v>
      </c>
      <c r="AH67" s="149" t="s">
        <v>6</v>
      </c>
      <c r="AI67" s="150" t="s">
        <v>1307</v>
      </c>
      <c r="AJ67" s="206" t="s">
        <v>1303</v>
      </c>
      <c r="AK67" s="149" t="s">
        <v>4</v>
      </c>
      <c r="AL67" s="149" t="s">
        <v>1304</v>
      </c>
    </row>
    <row r="68" spans="1:35" ht="15">
      <c r="A68" s="135"/>
      <c r="B68" s="139"/>
      <c r="C68" s="207"/>
      <c r="D68" s="208"/>
      <c r="E68" s="136"/>
      <c r="F68" s="136" t="s">
        <v>1294</v>
      </c>
      <c r="G68" s="136"/>
      <c r="H68" s="139" t="s">
        <v>1204</v>
      </c>
      <c r="I68" s="136" t="s">
        <v>1204</v>
      </c>
      <c r="J68" s="136">
        <v>2562</v>
      </c>
      <c r="K68" s="136">
        <v>2563</v>
      </c>
      <c r="L68" s="137">
        <v>2564</v>
      </c>
      <c r="M68" s="138" t="s">
        <v>1537</v>
      </c>
      <c r="N68" s="136" t="s">
        <v>4</v>
      </c>
      <c r="O68" s="138" t="s">
        <v>1538</v>
      </c>
      <c r="P68" s="139" t="s">
        <v>1286</v>
      </c>
      <c r="Q68" s="209" t="s">
        <v>1391</v>
      </c>
      <c r="R68" s="210" t="s">
        <v>5</v>
      </c>
      <c r="S68" s="139" t="s">
        <v>1208</v>
      </c>
      <c r="T68" s="139" t="s">
        <v>5</v>
      </c>
      <c r="U68" s="211" t="s">
        <v>1208</v>
      </c>
      <c r="V68" s="210" t="s">
        <v>5</v>
      </c>
      <c r="W68" s="139" t="s">
        <v>1208</v>
      </c>
      <c r="X68" s="139" t="s">
        <v>5</v>
      </c>
      <c r="Y68" s="211" t="s">
        <v>1208</v>
      </c>
      <c r="Z68" s="207"/>
      <c r="AA68" s="197"/>
      <c r="AB68" s="197"/>
      <c r="AG68" s="149" t="s">
        <v>1494</v>
      </c>
      <c r="AH68" s="149" t="s">
        <v>1207</v>
      </c>
      <c r="AI68" s="150" t="s">
        <v>1308</v>
      </c>
    </row>
    <row r="69" spans="1:38" ht="15">
      <c r="A69" s="140">
        <v>10949</v>
      </c>
      <c r="B69" s="140">
        <v>63</v>
      </c>
      <c r="C69" s="212">
        <v>846665</v>
      </c>
      <c r="D69" s="147" t="s">
        <v>1324</v>
      </c>
      <c r="E69" s="191" t="s">
        <v>40</v>
      </c>
      <c r="F69" s="153">
        <v>1</v>
      </c>
      <c r="G69" s="154" t="s">
        <v>1245</v>
      </c>
      <c r="H69" s="140">
        <v>1000</v>
      </c>
      <c r="I69" s="140" t="s">
        <v>376</v>
      </c>
      <c r="J69" s="140">
        <v>2</v>
      </c>
      <c r="K69" s="142">
        <v>2</v>
      </c>
      <c r="L69" s="142">
        <v>2.4000000000000004</v>
      </c>
      <c r="M69" s="143">
        <v>2</v>
      </c>
      <c r="N69" s="144">
        <v>0</v>
      </c>
      <c r="O69" s="143">
        <f aca="true" t="shared" si="21" ref="O69:O136">M69-N69</f>
        <v>2</v>
      </c>
      <c r="P69" s="140">
        <v>441.91</v>
      </c>
      <c r="Q69" s="159">
        <f t="shared" si="1"/>
        <v>883.82</v>
      </c>
      <c r="R69" s="137">
        <v>1</v>
      </c>
      <c r="S69" s="151">
        <f t="shared" si="2"/>
        <v>441.91</v>
      </c>
      <c r="T69" s="142">
        <v>0</v>
      </c>
      <c r="U69" s="151">
        <f t="shared" si="3"/>
        <v>0</v>
      </c>
      <c r="V69" s="140">
        <v>1</v>
      </c>
      <c r="W69" s="151">
        <f t="shared" si="4"/>
        <v>441.91</v>
      </c>
      <c r="X69" s="142">
        <v>0</v>
      </c>
      <c r="Y69" s="151">
        <f t="shared" si="5"/>
        <v>0</v>
      </c>
      <c r="Z69" s="146"/>
      <c r="AA69" s="155">
        <f t="shared" si="6"/>
        <v>2</v>
      </c>
      <c r="AB69" s="155">
        <f t="shared" si="19"/>
        <v>0</v>
      </c>
      <c r="AC69" s="149">
        <f t="shared" si="17"/>
        <v>0.5</v>
      </c>
      <c r="AD69" s="156">
        <f t="shared" si="20"/>
        <v>220.955</v>
      </c>
      <c r="AG69" s="149">
        <v>2</v>
      </c>
      <c r="AH69" s="149">
        <v>883.24</v>
      </c>
      <c r="AI69" s="150" t="s">
        <v>1352</v>
      </c>
      <c r="AJ69" s="206">
        <f aca="true" t="shared" si="22" ref="AJ69:AJ136">AG69/10*12</f>
        <v>2.4000000000000004</v>
      </c>
      <c r="AL69" s="149">
        <f t="shared" si="18"/>
        <v>0</v>
      </c>
    </row>
    <row r="70" spans="1:38" ht="15">
      <c r="A70" s="140">
        <v>10949</v>
      </c>
      <c r="B70" s="140">
        <v>64</v>
      </c>
      <c r="C70" s="146" t="s">
        <v>702</v>
      </c>
      <c r="D70" s="147" t="s">
        <v>701</v>
      </c>
      <c r="E70" s="191" t="s">
        <v>41</v>
      </c>
      <c r="F70" s="153">
        <v>1</v>
      </c>
      <c r="G70" s="154" t="s">
        <v>1245</v>
      </c>
      <c r="H70" s="140">
        <v>1000</v>
      </c>
      <c r="I70" s="140" t="s">
        <v>376</v>
      </c>
      <c r="J70" s="140">
        <v>170</v>
      </c>
      <c r="K70" s="142">
        <v>178</v>
      </c>
      <c r="L70" s="142">
        <v>128.39999999999998</v>
      </c>
      <c r="M70" s="143">
        <v>167</v>
      </c>
      <c r="N70" s="144">
        <v>47</v>
      </c>
      <c r="O70" s="143">
        <f t="shared" si="21"/>
        <v>120</v>
      </c>
      <c r="P70" s="140">
        <v>55</v>
      </c>
      <c r="Q70" s="159">
        <f aca="true" t="shared" si="23" ref="Q70:Q137">P70*O70</f>
        <v>6600</v>
      </c>
      <c r="R70" s="140">
        <v>30</v>
      </c>
      <c r="S70" s="151">
        <f aca="true" t="shared" si="24" ref="S70:S139">R70*P70</f>
        <v>1650</v>
      </c>
      <c r="T70" s="142">
        <v>30</v>
      </c>
      <c r="U70" s="151">
        <f aca="true" t="shared" si="25" ref="U70:U139">T70*P70</f>
        <v>1650</v>
      </c>
      <c r="V70" s="140">
        <v>30</v>
      </c>
      <c r="W70" s="151">
        <f aca="true" t="shared" si="26" ref="W70:W139">V70*P70</f>
        <v>1650</v>
      </c>
      <c r="X70" s="142">
        <v>30</v>
      </c>
      <c r="Y70" s="151">
        <f aca="true" t="shared" si="27" ref="Y70:Y139">X70*P70</f>
        <v>1650</v>
      </c>
      <c r="Z70" s="146"/>
      <c r="AA70" s="155">
        <f aca="true" t="shared" si="28" ref="AA70:AA139">R70+T70+V70+X70</f>
        <v>120</v>
      </c>
      <c r="AB70" s="155">
        <f t="shared" si="19"/>
        <v>0</v>
      </c>
      <c r="AC70" s="149">
        <f t="shared" si="17"/>
        <v>30</v>
      </c>
      <c r="AD70" s="156">
        <f t="shared" si="20"/>
        <v>1650</v>
      </c>
      <c r="AG70" s="149">
        <v>107</v>
      </c>
      <c r="AH70" s="149">
        <v>4173</v>
      </c>
      <c r="AI70" s="150" t="s">
        <v>1352</v>
      </c>
      <c r="AJ70" s="206">
        <f t="shared" si="22"/>
        <v>128.39999999999998</v>
      </c>
      <c r="AL70" s="149">
        <f t="shared" si="18"/>
        <v>0</v>
      </c>
    </row>
    <row r="71" spans="1:38" ht="15">
      <c r="A71" s="140">
        <v>10949</v>
      </c>
      <c r="B71" s="140">
        <v>65</v>
      </c>
      <c r="C71" s="146" t="s">
        <v>704</v>
      </c>
      <c r="D71" s="147" t="s">
        <v>703</v>
      </c>
      <c r="E71" s="191" t="s">
        <v>385</v>
      </c>
      <c r="F71" s="153">
        <v>1</v>
      </c>
      <c r="G71" s="154" t="s">
        <v>1248</v>
      </c>
      <c r="H71" s="140">
        <v>1</v>
      </c>
      <c r="I71" s="140" t="s">
        <v>377</v>
      </c>
      <c r="J71" s="140">
        <v>1130</v>
      </c>
      <c r="K71" s="142">
        <v>1140</v>
      </c>
      <c r="L71" s="142">
        <v>840</v>
      </c>
      <c r="M71" s="143">
        <v>1100</v>
      </c>
      <c r="N71" s="144">
        <v>300</v>
      </c>
      <c r="O71" s="143">
        <f t="shared" si="21"/>
        <v>800</v>
      </c>
      <c r="P71" s="140">
        <v>2.24</v>
      </c>
      <c r="Q71" s="159">
        <f t="shared" si="23"/>
        <v>1792.0000000000002</v>
      </c>
      <c r="R71" s="140">
        <v>200</v>
      </c>
      <c r="S71" s="151">
        <f t="shared" si="24"/>
        <v>448.00000000000006</v>
      </c>
      <c r="T71" s="142">
        <v>200</v>
      </c>
      <c r="U71" s="151">
        <f t="shared" si="25"/>
        <v>448.00000000000006</v>
      </c>
      <c r="V71" s="140">
        <v>200</v>
      </c>
      <c r="W71" s="151">
        <f t="shared" si="26"/>
        <v>448.00000000000006</v>
      </c>
      <c r="X71" s="142">
        <v>200</v>
      </c>
      <c r="Y71" s="151">
        <f t="shared" si="27"/>
        <v>448.00000000000006</v>
      </c>
      <c r="Z71" s="146"/>
      <c r="AA71" s="155">
        <f t="shared" si="28"/>
        <v>800</v>
      </c>
      <c r="AB71" s="155">
        <f t="shared" si="19"/>
        <v>0</v>
      </c>
      <c r="AC71" s="149">
        <f t="shared" si="17"/>
        <v>200</v>
      </c>
      <c r="AD71" s="156">
        <f t="shared" si="20"/>
        <v>448.00000000000006</v>
      </c>
      <c r="AG71" s="149">
        <v>700</v>
      </c>
      <c r="AH71" s="149">
        <v>1567.9999999999998</v>
      </c>
      <c r="AI71" s="150" t="s">
        <v>1352</v>
      </c>
      <c r="AJ71" s="206">
        <f t="shared" si="22"/>
        <v>840</v>
      </c>
      <c r="AL71" s="149">
        <f t="shared" si="18"/>
        <v>0</v>
      </c>
    </row>
    <row r="72" spans="1:38" ht="15">
      <c r="A72" s="140">
        <v>10949</v>
      </c>
      <c r="B72" s="140">
        <v>66</v>
      </c>
      <c r="C72" s="146" t="s">
        <v>706</v>
      </c>
      <c r="D72" s="147" t="s">
        <v>705</v>
      </c>
      <c r="E72" s="191" t="s">
        <v>42</v>
      </c>
      <c r="F72" s="153">
        <v>1</v>
      </c>
      <c r="G72" s="154" t="s">
        <v>1254</v>
      </c>
      <c r="H72" s="140">
        <v>60</v>
      </c>
      <c r="I72" s="140" t="s">
        <v>1250</v>
      </c>
      <c r="J72" s="140">
        <v>6480</v>
      </c>
      <c r="K72" s="142">
        <v>5090</v>
      </c>
      <c r="L72" s="142">
        <v>5136</v>
      </c>
      <c r="M72" s="143">
        <v>5800</v>
      </c>
      <c r="N72" s="144">
        <v>1800</v>
      </c>
      <c r="O72" s="143">
        <f t="shared" si="21"/>
        <v>4000</v>
      </c>
      <c r="P72" s="140">
        <v>5</v>
      </c>
      <c r="Q72" s="159">
        <f t="shared" si="23"/>
        <v>20000</v>
      </c>
      <c r="R72" s="140">
        <v>1000</v>
      </c>
      <c r="S72" s="151">
        <f t="shared" si="24"/>
        <v>5000</v>
      </c>
      <c r="T72" s="142">
        <v>1000</v>
      </c>
      <c r="U72" s="151">
        <f t="shared" si="25"/>
        <v>5000</v>
      </c>
      <c r="V72" s="140">
        <v>1000</v>
      </c>
      <c r="W72" s="151">
        <f t="shared" si="26"/>
        <v>5000</v>
      </c>
      <c r="X72" s="142">
        <v>1000</v>
      </c>
      <c r="Y72" s="151">
        <f t="shared" si="27"/>
        <v>5000</v>
      </c>
      <c r="Z72" s="146"/>
      <c r="AA72" s="155">
        <f t="shared" si="28"/>
        <v>4000</v>
      </c>
      <c r="AB72" s="155">
        <f t="shared" si="19"/>
        <v>0</v>
      </c>
      <c r="AC72" s="149">
        <f t="shared" si="17"/>
        <v>1000</v>
      </c>
      <c r="AD72" s="156">
        <f t="shared" si="20"/>
        <v>5000</v>
      </c>
      <c r="AG72" s="149">
        <v>4280</v>
      </c>
      <c r="AH72" s="149">
        <v>21400</v>
      </c>
      <c r="AI72" s="150" t="s">
        <v>1355</v>
      </c>
      <c r="AJ72" s="206">
        <f t="shared" si="22"/>
        <v>5136</v>
      </c>
      <c r="AL72" s="149">
        <f t="shared" si="18"/>
        <v>0</v>
      </c>
    </row>
    <row r="73" spans="1:38" ht="15">
      <c r="A73" s="140">
        <v>10949</v>
      </c>
      <c r="B73" s="140">
        <v>67</v>
      </c>
      <c r="C73" s="146" t="s">
        <v>708</v>
      </c>
      <c r="D73" s="147" t="s">
        <v>707</v>
      </c>
      <c r="E73" s="191" t="s">
        <v>43</v>
      </c>
      <c r="F73" s="153">
        <v>1</v>
      </c>
      <c r="G73" s="154" t="s">
        <v>1245</v>
      </c>
      <c r="H73" s="140">
        <v>500</v>
      </c>
      <c r="I73" s="140" t="s">
        <v>376</v>
      </c>
      <c r="J73" s="140">
        <v>15</v>
      </c>
      <c r="K73" s="142">
        <v>13</v>
      </c>
      <c r="L73" s="142">
        <v>8.399999999999999</v>
      </c>
      <c r="M73" s="143">
        <v>13</v>
      </c>
      <c r="N73" s="144">
        <v>5</v>
      </c>
      <c r="O73" s="143">
        <f t="shared" si="21"/>
        <v>8</v>
      </c>
      <c r="P73" s="140">
        <v>257.87</v>
      </c>
      <c r="Q73" s="159">
        <f t="shared" si="23"/>
        <v>2062.96</v>
      </c>
      <c r="R73" s="140">
        <v>0</v>
      </c>
      <c r="S73" s="151">
        <f t="shared" si="24"/>
        <v>0</v>
      </c>
      <c r="T73" s="142">
        <v>4</v>
      </c>
      <c r="U73" s="151">
        <f t="shared" si="25"/>
        <v>1031.48</v>
      </c>
      <c r="V73" s="140">
        <v>0</v>
      </c>
      <c r="W73" s="151">
        <f t="shared" si="26"/>
        <v>0</v>
      </c>
      <c r="X73" s="142">
        <v>4</v>
      </c>
      <c r="Y73" s="151">
        <f t="shared" si="27"/>
        <v>1031.48</v>
      </c>
      <c r="Z73" s="146"/>
      <c r="AA73" s="155">
        <f t="shared" si="28"/>
        <v>8</v>
      </c>
      <c r="AB73" s="155">
        <f t="shared" si="19"/>
        <v>0</v>
      </c>
      <c r="AC73" s="149">
        <f t="shared" si="17"/>
        <v>2</v>
      </c>
      <c r="AD73" s="156">
        <f t="shared" si="20"/>
        <v>515.74</v>
      </c>
      <c r="AG73" s="149">
        <v>7</v>
      </c>
      <c r="AH73" s="149">
        <v>1804.3899999999999</v>
      </c>
      <c r="AI73" s="150" t="s">
        <v>1352</v>
      </c>
      <c r="AJ73" s="206">
        <f t="shared" si="22"/>
        <v>8.399999999999999</v>
      </c>
      <c r="AL73" s="149">
        <f t="shared" si="18"/>
        <v>0</v>
      </c>
    </row>
    <row r="74" spans="1:38" ht="15">
      <c r="A74" s="140">
        <v>10949</v>
      </c>
      <c r="B74" s="140">
        <v>68</v>
      </c>
      <c r="C74" s="146" t="s">
        <v>710</v>
      </c>
      <c r="D74" s="147" t="s">
        <v>709</v>
      </c>
      <c r="E74" s="191" t="s">
        <v>44</v>
      </c>
      <c r="F74" s="153">
        <v>1</v>
      </c>
      <c r="G74" s="154" t="s">
        <v>1245</v>
      </c>
      <c r="H74" s="140">
        <v>1000</v>
      </c>
      <c r="I74" s="140" t="s">
        <v>376</v>
      </c>
      <c r="J74" s="140">
        <v>4</v>
      </c>
      <c r="K74" s="142">
        <v>11</v>
      </c>
      <c r="L74" s="142">
        <v>4.800000000000001</v>
      </c>
      <c r="M74" s="143">
        <v>7</v>
      </c>
      <c r="N74" s="144">
        <v>3</v>
      </c>
      <c r="O74" s="143">
        <f t="shared" si="21"/>
        <v>4</v>
      </c>
      <c r="P74" s="140">
        <v>214</v>
      </c>
      <c r="Q74" s="159">
        <f t="shared" si="23"/>
        <v>856</v>
      </c>
      <c r="R74" s="140">
        <v>0</v>
      </c>
      <c r="S74" s="151">
        <f t="shared" si="24"/>
        <v>0</v>
      </c>
      <c r="T74" s="142">
        <v>2</v>
      </c>
      <c r="U74" s="151">
        <f t="shared" si="25"/>
        <v>428</v>
      </c>
      <c r="V74" s="140">
        <v>0</v>
      </c>
      <c r="W74" s="151">
        <f t="shared" si="26"/>
        <v>0</v>
      </c>
      <c r="X74" s="142">
        <v>2</v>
      </c>
      <c r="Y74" s="151">
        <f t="shared" si="27"/>
        <v>428</v>
      </c>
      <c r="Z74" s="146"/>
      <c r="AA74" s="155">
        <f t="shared" si="28"/>
        <v>4</v>
      </c>
      <c r="AB74" s="155">
        <f t="shared" si="19"/>
        <v>0</v>
      </c>
      <c r="AC74" s="149">
        <f t="shared" si="17"/>
        <v>1</v>
      </c>
      <c r="AD74" s="156">
        <f t="shared" si="20"/>
        <v>214</v>
      </c>
      <c r="AG74" s="149">
        <v>4</v>
      </c>
      <c r="AH74" s="149">
        <v>1114</v>
      </c>
      <c r="AI74" s="150" t="s">
        <v>1352</v>
      </c>
      <c r="AJ74" s="206">
        <f t="shared" si="22"/>
        <v>4.800000000000001</v>
      </c>
      <c r="AL74" s="149">
        <f t="shared" si="18"/>
        <v>0</v>
      </c>
    </row>
    <row r="75" spans="1:38" ht="15">
      <c r="A75" s="140">
        <v>10949</v>
      </c>
      <c r="B75" s="140">
        <v>69</v>
      </c>
      <c r="C75" s="146" t="s">
        <v>712</v>
      </c>
      <c r="D75" s="147" t="s">
        <v>711</v>
      </c>
      <c r="E75" s="191" t="s">
        <v>45</v>
      </c>
      <c r="F75" s="153">
        <v>1</v>
      </c>
      <c r="G75" s="154" t="s">
        <v>1245</v>
      </c>
      <c r="H75" s="140">
        <v>1000</v>
      </c>
      <c r="I75" s="140" t="s">
        <v>376</v>
      </c>
      <c r="J75" s="140">
        <v>21</v>
      </c>
      <c r="K75" s="142">
        <v>19</v>
      </c>
      <c r="L75" s="142">
        <v>13.200000000000001</v>
      </c>
      <c r="M75" s="143">
        <v>19</v>
      </c>
      <c r="N75" s="144">
        <v>3</v>
      </c>
      <c r="O75" s="143">
        <f t="shared" si="21"/>
        <v>16</v>
      </c>
      <c r="P75" s="140">
        <v>365.08</v>
      </c>
      <c r="Q75" s="159">
        <f t="shared" si="23"/>
        <v>5841.28</v>
      </c>
      <c r="R75" s="140">
        <v>4</v>
      </c>
      <c r="S75" s="151">
        <f t="shared" si="24"/>
        <v>1460.32</v>
      </c>
      <c r="T75" s="142">
        <v>4</v>
      </c>
      <c r="U75" s="151">
        <f t="shared" si="25"/>
        <v>1460.32</v>
      </c>
      <c r="V75" s="140">
        <v>4</v>
      </c>
      <c r="W75" s="151">
        <f t="shared" si="26"/>
        <v>1460.32</v>
      </c>
      <c r="X75" s="142">
        <v>4</v>
      </c>
      <c r="Y75" s="151">
        <f t="shared" si="27"/>
        <v>1460.32</v>
      </c>
      <c r="Z75" s="146"/>
      <c r="AA75" s="155">
        <f t="shared" si="28"/>
        <v>16</v>
      </c>
      <c r="AB75" s="155">
        <f t="shared" si="19"/>
        <v>0</v>
      </c>
      <c r="AC75" s="149">
        <f t="shared" si="17"/>
        <v>4</v>
      </c>
      <c r="AD75" s="156">
        <f t="shared" si="20"/>
        <v>1460.32</v>
      </c>
      <c r="AG75" s="149">
        <v>11</v>
      </c>
      <c r="AH75" s="149">
        <v>4155</v>
      </c>
      <c r="AI75" s="150" t="s">
        <v>1352</v>
      </c>
      <c r="AJ75" s="206">
        <f t="shared" si="22"/>
        <v>13.200000000000001</v>
      </c>
      <c r="AL75" s="149">
        <f t="shared" si="18"/>
        <v>0</v>
      </c>
    </row>
    <row r="76" spans="1:38" ht="15">
      <c r="A76" s="140">
        <v>10949</v>
      </c>
      <c r="B76" s="140">
        <v>70</v>
      </c>
      <c r="C76" s="146" t="s">
        <v>714</v>
      </c>
      <c r="D76" s="147" t="s">
        <v>713</v>
      </c>
      <c r="E76" s="191" t="s">
        <v>386</v>
      </c>
      <c r="F76" s="153">
        <v>1</v>
      </c>
      <c r="G76" s="154" t="s">
        <v>1248</v>
      </c>
      <c r="H76" s="140">
        <v>1</v>
      </c>
      <c r="I76" s="140" t="s">
        <v>377</v>
      </c>
      <c r="J76" s="140">
        <v>50</v>
      </c>
      <c r="K76" s="142">
        <v>0</v>
      </c>
      <c r="L76" s="142">
        <v>0</v>
      </c>
      <c r="M76" s="143">
        <v>0</v>
      </c>
      <c r="N76" s="144">
        <v>0</v>
      </c>
      <c r="O76" s="143">
        <f t="shared" si="21"/>
        <v>0</v>
      </c>
      <c r="P76" s="140">
        <v>3.7</v>
      </c>
      <c r="Q76" s="159">
        <f t="shared" si="23"/>
        <v>0</v>
      </c>
      <c r="R76" s="140">
        <v>0</v>
      </c>
      <c r="S76" s="151">
        <f t="shared" si="24"/>
        <v>0</v>
      </c>
      <c r="T76" s="142">
        <v>0</v>
      </c>
      <c r="U76" s="151">
        <f t="shared" si="25"/>
        <v>0</v>
      </c>
      <c r="V76" s="140">
        <v>0</v>
      </c>
      <c r="W76" s="151">
        <f t="shared" si="26"/>
        <v>0</v>
      </c>
      <c r="X76" s="142">
        <v>0</v>
      </c>
      <c r="Y76" s="151">
        <f t="shared" si="27"/>
        <v>0</v>
      </c>
      <c r="Z76" s="146"/>
      <c r="AA76" s="155">
        <f t="shared" si="28"/>
        <v>0</v>
      </c>
      <c r="AB76" s="155">
        <f t="shared" si="19"/>
        <v>0</v>
      </c>
      <c r="AC76" s="149">
        <f t="shared" si="17"/>
        <v>0</v>
      </c>
      <c r="AD76" s="156">
        <f t="shared" si="20"/>
        <v>0</v>
      </c>
      <c r="AI76" s="150" t="s">
        <v>1300</v>
      </c>
      <c r="AJ76" s="206">
        <f t="shared" si="22"/>
        <v>0</v>
      </c>
      <c r="AL76" s="149">
        <f t="shared" si="18"/>
        <v>0</v>
      </c>
    </row>
    <row r="77" spans="1:38" ht="30">
      <c r="A77" s="140">
        <v>10949</v>
      </c>
      <c r="B77" s="140">
        <v>71</v>
      </c>
      <c r="C77" s="212">
        <v>552776</v>
      </c>
      <c r="D77" s="147" t="s">
        <v>715</v>
      </c>
      <c r="E77" s="192" t="s">
        <v>492</v>
      </c>
      <c r="F77" s="153">
        <v>1</v>
      </c>
      <c r="G77" s="154" t="s">
        <v>1248</v>
      </c>
      <c r="H77" s="153">
        <v>1</v>
      </c>
      <c r="I77" s="153" t="s">
        <v>392</v>
      </c>
      <c r="J77" s="140">
        <v>54</v>
      </c>
      <c r="K77" s="142">
        <v>44</v>
      </c>
      <c r="L77" s="142">
        <v>0</v>
      </c>
      <c r="M77" s="143">
        <v>0</v>
      </c>
      <c r="N77" s="144">
        <v>0</v>
      </c>
      <c r="O77" s="143">
        <v>0</v>
      </c>
      <c r="P77" s="160">
        <v>18</v>
      </c>
      <c r="Q77" s="159">
        <f t="shared" si="23"/>
        <v>0</v>
      </c>
      <c r="R77" s="140">
        <v>0</v>
      </c>
      <c r="S77" s="151">
        <f t="shared" si="24"/>
        <v>0</v>
      </c>
      <c r="T77" s="142">
        <v>0</v>
      </c>
      <c r="U77" s="151">
        <f t="shared" si="25"/>
        <v>0</v>
      </c>
      <c r="V77" s="140">
        <v>0</v>
      </c>
      <c r="W77" s="151">
        <f t="shared" si="26"/>
        <v>0</v>
      </c>
      <c r="X77" s="142">
        <v>0</v>
      </c>
      <c r="Y77" s="151">
        <f t="shared" si="27"/>
        <v>0</v>
      </c>
      <c r="Z77" s="146"/>
      <c r="AA77" s="155">
        <f t="shared" si="28"/>
        <v>0</v>
      </c>
      <c r="AB77" s="155">
        <f t="shared" si="19"/>
        <v>0</v>
      </c>
      <c r="AC77" s="149">
        <f t="shared" si="17"/>
        <v>0</v>
      </c>
      <c r="AD77" s="156">
        <f t="shared" si="20"/>
        <v>0</v>
      </c>
      <c r="AI77" s="150" t="s">
        <v>1352</v>
      </c>
      <c r="AJ77" s="206">
        <f t="shared" si="22"/>
        <v>0</v>
      </c>
      <c r="AL77" s="149">
        <f t="shared" si="18"/>
        <v>0</v>
      </c>
    </row>
    <row r="78" spans="1:38" ht="19.5" customHeight="1">
      <c r="A78" s="140">
        <v>10949</v>
      </c>
      <c r="B78" s="140">
        <v>72</v>
      </c>
      <c r="C78" s="146" t="s">
        <v>717</v>
      </c>
      <c r="D78" s="147" t="s">
        <v>716</v>
      </c>
      <c r="E78" s="152" t="s">
        <v>468</v>
      </c>
      <c r="F78" s="153">
        <v>1</v>
      </c>
      <c r="G78" s="146" t="s">
        <v>1245</v>
      </c>
      <c r="H78" s="140">
        <v>100</v>
      </c>
      <c r="I78" s="140" t="s">
        <v>376</v>
      </c>
      <c r="J78" s="140">
        <v>158</v>
      </c>
      <c r="K78" s="142">
        <v>161</v>
      </c>
      <c r="L78" s="142">
        <v>134.39999999999998</v>
      </c>
      <c r="M78" s="143">
        <v>160</v>
      </c>
      <c r="N78" s="144">
        <v>40</v>
      </c>
      <c r="O78" s="143">
        <f t="shared" si="21"/>
        <v>120</v>
      </c>
      <c r="P78" s="159">
        <v>60</v>
      </c>
      <c r="Q78" s="159">
        <f t="shared" si="23"/>
        <v>7200</v>
      </c>
      <c r="R78" s="140">
        <v>30</v>
      </c>
      <c r="S78" s="151">
        <f t="shared" si="24"/>
        <v>1800</v>
      </c>
      <c r="T78" s="142">
        <v>30</v>
      </c>
      <c r="U78" s="151">
        <f t="shared" si="25"/>
        <v>1800</v>
      </c>
      <c r="V78" s="140">
        <v>30</v>
      </c>
      <c r="W78" s="151">
        <f t="shared" si="26"/>
        <v>1800</v>
      </c>
      <c r="X78" s="142">
        <v>30</v>
      </c>
      <c r="Y78" s="151">
        <f t="shared" si="27"/>
        <v>1800</v>
      </c>
      <c r="Z78" s="146"/>
      <c r="AA78" s="155">
        <f t="shared" si="28"/>
        <v>120</v>
      </c>
      <c r="AB78" s="155">
        <f t="shared" si="19"/>
        <v>0</v>
      </c>
      <c r="AC78" s="149">
        <f t="shared" si="17"/>
        <v>30</v>
      </c>
      <c r="AD78" s="156">
        <f t="shared" si="20"/>
        <v>1800</v>
      </c>
      <c r="AG78" s="149">
        <v>112</v>
      </c>
      <c r="AH78" s="149">
        <v>5640</v>
      </c>
      <c r="AI78" s="150" t="s">
        <v>1352</v>
      </c>
      <c r="AJ78" s="206">
        <f t="shared" si="22"/>
        <v>134.39999999999998</v>
      </c>
      <c r="AL78" s="149">
        <f t="shared" si="18"/>
        <v>0</v>
      </c>
    </row>
    <row r="79" spans="1:38" ht="30">
      <c r="A79" s="140">
        <v>10949</v>
      </c>
      <c r="B79" s="140">
        <v>73</v>
      </c>
      <c r="C79" s="146" t="s">
        <v>719</v>
      </c>
      <c r="D79" s="147" t="s">
        <v>718</v>
      </c>
      <c r="E79" s="192" t="s">
        <v>527</v>
      </c>
      <c r="F79" s="153">
        <v>1</v>
      </c>
      <c r="G79" s="161" t="s">
        <v>1245</v>
      </c>
      <c r="H79" s="153">
        <v>70</v>
      </c>
      <c r="I79" s="153" t="s">
        <v>376</v>
      </c>
      <c r="J79" s="140">
        <v>0</v>
      </c>
      <c r="K79" s="142">
        <v>15</v>
      </c>
      <c r="L79" s="142">
        <v>0</v>
      </c>
      <c r="M79" s="143">
        <v>0</v>
      </c>
      <c r="N79" s="144">
        <v>0</v>
      </c>
      <c r="O79" s="143">
        <v>0</v>
      </c>
      <c r="P79" s="140">
        <v>695.5</v>
      </c>
      <c r="Q79" s="159">
        <f t="shared" si="23"/>
        <v>0</v>
      </c>
      <c r="R79" s="140">
        <v>0</v>
      </c>
      <c r="S79" s="151">
        <f t="shared" si="24"/>
        <v>0</v>
      </c>
      <c r="T79" s="142">
        <v>0</v>
      </c>
      <c r="U79" s="151">
        <f t="shared" si="25"/>
        <v>0</v>
      </c>
      <c r="V79" s="140">
        <v>0</v>
      </c>
      <c r="W79" s="151">
        <f t="shared" si="26"/>
        <v>0</v>
      </c>
      <c r="X79" s="142">
        <v>0</v>
      </c>
      <c r="Y79" s="151">
        <f t="shared" si="27"/>
        <v>0</v>
      </c>
      <c r="Z79" s="146"/>
      <c r="AA79" s="155">
        <f t="shared" si="28"/>
        <v>0</v>
      </c>
      <c r="AB79" s="155">
        <f t="shared" si="19"/>
        <v>0</v>
      </c>
      <c r="AC79" s="149">
        <f t="shared" si="17"/>
        <v>0</v>
      </c>
      <c r="AD79" s="156">
        <f t="shared" si="20"/>
        <v>0</v>
      </c>
      <c r="AI79" s="150" t="s">
        <v>1352</v>
      </c>
      <c r="AJ79" s="206">
        <f t="shared" si="22"/>
        <v>0</v>
      </c>
      <c r="AL79" s="149">
        <f t="shared" si="18"/>
        <v>0</v>
      </c>
    </row>
    <row r="80" spans="1:38" ht="15">
      <c r="A80" s="140">
        <v>10949</v>
      </c>
      <c r="B80" s="140">
        <v>74</v>
      </c>
      <c r="C80" s="212">
        <v>285943</v>
      </c>
      <c r="D80" s="147" t="s">
        <v>720</v>
      </c>
      <c r="E80" s="191" t="s">
        <v>1226</v>
      </c>
      <c r="F80" s="153">
        <v>1</v>
      </c>
      <c r="G80" s="154" t="s">
        <v>1245</v>
      </c>
      <c r="H80" s="144">
        <v>100</v>
      </c>
      <c r="I80" s="144" t="s">
        <v>376</v>
      </c>
      <c r="J80" s="140">
        <v>93</v>
      </c>
      <c r="K80" s="142">
        <v>55</v>
      </c>
      <c r="L80" s="142">
        <v>39.599999999999994</v>
      </c>
      <c r="M80" s="143">
        <v>60</v>
      </c>
      <c r="N80" s="144">
        <v>10</v>
      </c>
      <c r="O80" s="143">
        <f t="shared" si="21"/>
        <v>50</v>
      </c>
      <c r="P80" s="140">
        <v>260.01</v>
      </c>
      <c r="Q80" s="159">
        <f t="shared" si="23"/>
        <v>13000.5</v>
      </c>
      <c r="R80" s="140">
        <v>20</v>
      </c>
      <c r="S80" s="151">
        <f t="shared" si="24"/>
        <v>5200.2</v>
      </c>
      <c r="T80" s="142">
        <v>10</v>
      </c>
      <c r="U80" s="151">
        <f t="shared" si="25"/>
        <v>2600.1</v>
      </c>
      <c r="V80" s="140">
        <v>10</v>
      </c>
      <c r="W80" s="151">
        <f t="shared" si="26"/>
        <v>2600.1</v>
      </c>
      <c r="X80" s="142">
        <v>10</v>
      </c>
      <c r="Y80" s="151">
        <f t="shared" si="27"/>
        <v>2600.1</v>
      </c>
      <c r="Z80" s="146"/>
      <c r="AA80" s="155">
        <f t="shared" si="28"/>
        <v>50</v>
      </c>
      <c r="AB80" s="155">
        <f t="shared" si="19"/>
        <v>0</v>
      </c>
      <c r="AC80" s="149">
        <f t="shared" si="17"/>
        <v>12.5</v>
      </c>
      <c r="AD80" s="156">
        <f t="shared" si="20"/>
        <v>3250.125</v>
      </c>
      <c r="AG80" s="149">
        <v>33</v>
      </c>
      <c r="AH80" s="149">
        <v>8580</v>
      </c>
      <c r="AI80" s="150" t="s">
        <v>1352</v>
      </c>
      <c r="AJ80" s="206">
        <f t="shared" si="22"/>
        <v>39.599999999999994</v>
      </c>
      <c r="AL80" s="149">
        <f t="shared" si="18"/>
        <v>0</v>
      </c>
    </row>
    <row r="81" spans="1:38" ht="15">
      <c r="A81" s="140">
        <v>10949</v>
      </c>
      <c r="B81" s="140">
        <v>75</v>
      </c>
      <c r="C81" s="146" t="s">
        <v>722</v>
      </c>
      <c r="D81" s="147" t="s">
        <v>721</v>
      </c>
      <c r="E81" s="191" t="s">
        <v>1227</v>
      </c>
      <c r="F81" s="153">
        <v>1</v>
      </c>
      <c r="G81" s="154" t="s">
        <v>1248</v>
      </c>
      <c r="H81" s="137">
        <v>1</v>
      </c>
      <c r="I81" s="137" t="s">
        <v>392</v>
      </c>
      <c r="J81" s="140">
        <v>5200</v>
      </c>
      <c r="K81" s="141">
        <v>6950</v>
      </c>
      <c r="L81" s="142">
        <v>4872</v>
      </c>
      <c r="M81" s="143">
        <v>6000</v>
      </c>
      <c r="N81" s="144">
        <v>1200</v>
      </c>
      <c r="O81" s="143">
        <f t="shared" si="21"/>
        <v>4800</v>
      </c>
      <c r="P81" s="140">
        <v>16</v>
      </c>
      <c r="Q81" s="159">
        <f t="shared" si="23"/>
        <v>76800</v>
      </c>
      <c r="R81" s="140">
        <v>1200</v>
      </c>
      <c r="S81" s="151">
        <f t="shared" si="24"/>
        <v>19200</v>
      </c>
      <c r="T81" s="142">
        <v>1200</v>
      </c>
      <c r="U81" s="151">
        <f t="shared" si="25"/>
        <v>19200</v>
      </c>
      <c r="V81" s="140">
        <v>1200</v>
      </c>
      <c r="W81" s="151">
        <f t="shared" si="26"/>
        <v>19200</v>
      </c>
      <c r="X81" s="142">
        <v>1200</v>
      </c>
      <c r="Y81" s="151">
        <f t="shared" si="27"/>
        <v>19200</v>
      </c>
      <c r="Z81" s="146"/>
      <c r="AA81" s="155">
        <f t="shared" si="28"/>
        <v>4800</v>
      </c>
      <c r="AB81" s="155">
        <f t="shared" si="19"/>
        <v>0</v>
      </c>
      <c r="AC81" s="149">
        <f t="shared" si="17"/>
        <v>1200</v>
      </c>
      <c r="AD81" s="156">
        <f t="shared" si="20"/>
        <v>19200</v>
      </c>
      <c r="AG81" s="149">
        <v>4060</v>
      </c>
      <c r="AH81" s="149">
        <v>59885</v>
      </c>
      <c r="AI81" s="150" t="s">
        <v>1352</v>
      </c>
      <c r="AJ81" s="206">
        <f t="shared" si="22"/>
        <v>4872</v>
      </c>
      <c r="AL81" s="149">
        <f t="shared" si="18"/>
        <v>0</v>
      </c>
    </row>
    <row r="82" spans="1:38" ht="15">
      <c r="A82" s="140">
        <v>10949</v>
      </c>
      <c r="B82" s="140">
        <v>76</v>
      </c>
      <c r="C82" s="146" t="s">
        <v>724</v>
      </c>
      <c r="D82" s="147" t="s">
        <v>723</v>
      </c>
      <c r="E82" s="191" t="s">
        <v>528</v>
      </c>
      <c r="F82" s="153">
        <v>1</v>
      </c>
      <c r="G82" s="187" t="s">
        <v>1245</v>
      </c>
      <c r="H82" s="153">
        <v>500</v>
      </c>
      <c r="I82" s="153" t="s">
        <v>376</v>
      </c>
      <c r="J82" s="140">
        <v>43.58</v>
      </c>
      <c r="K82" s="142">
        <v>49.2</v>
      </c>
      <c r="L82" s="142">
        <v>58.800000000000004</v>
      </c>
      <c r="M82" s="143">
        <v>60</v>
      </c>
      <c r="N82" s="144">
        <v>0</v>
      </c>
      <c r="O82" s="143">
        <f t="shared" si="21"/>
        <v>60</v>
      </c>
      <c r="P82" s="162">
        <v>250</v>
      </c>
      <c r="Q82" s="159">
        <f t="shared" si="23"/>
        <v>15000</v>
      </c>
      <c r="R82" s="140">
        <v>15</v>
      </c>
      <c r="S82" s="151">
        <f t="shared" si="24"/>
        <v>3750</v>
      </c>
      <c r="T82" s="142">
        <v>15</v>
      </c>
      <c r="U82" s="151">
        <f t="shared" si="25"/>
        <v>3750</v>
      </c>
      <c r="V82" s="140">
        <v>15</v>
      </c>
      <c r="W82" s="151">
        <f t="shared" si="26"/>
        <v>3750</v>
      </c>
      <c r="X82" s="142">
        <v>15</v>
      </c>
      <c r="Y82" s="151">
        <f t="shared" si="27"/>
        <v>3750</v>
      </c>
      <c r="Z82" s="146"/>
      <c r="AA82" s="155">
        <f t="shared" si="28"/>
        <v>60</v>
      </c>
      <c r="AB82" s="155">
        <f t="shared" si="19"/>
        <v>0</v>
      </c>
      <c r="AC82" s="149">
        <f t="shared" si="17"/>
        <v>15</v>
      </c>
      <c r="AD82" s="156">
        <f t="shared" si="20"/>
        <v>3750</v>
      </c>
      <c r="AG82" s="149">
        <v>49</v>
      </c>
      <c r="AH82" s="149">
        <v>11711</v>
      </c>
      <c r="AI82" s="150" t="s">
        <v>1352</v>
      </c>
      <c r="AJ82" s="206">
        <f t="shared" si="22"/>
        <v>58.800000000000004</v>
      </c>
      <c r="AL82" s="149">
        <f t="shared" si="18"/>
        <v>0</v>
      </c>
    </row>
    <row r="83" spans="1:36" ht="15">
      <c r="A83" s="140">
        <v>10949</v>
      </c>
      <c r="B83" s="140">
        <v>77</v>
      </c>
      <c r="C83" s="212">
        <v>229851</v>
      </c>
      <c r="D83" s="147" t="s">
        <v>1282</v>
      </c>
      <c r="E83" s="152" t="s">
        <v>1369</v>
      </c>
      <c r="F83" s="153">
        <v>1</v>
      </c>
      <c r="G83" s="187" t="s">
        <v>1245</v>
      </c>
      <c r="H83" s="140">
        <v>500</v>
      </c>
      <c r="I83" s="140" t="s">
        <v>376</v>
      </c>
      <c r="J83" s="140">
        <v>2.34</v>
      </c>
      <c r="K83" s="159">
        <f>1080/500</f>
        <v>2.16</v>
      </c>
      <c r="L83" s="142">
        <v>2.4000000000000004</v>
      </c>
      <c r="M83" s="143">
        <v>2</v>
      </c>
      <c r="N83" s="140">
        <v>0</v>
      </c>
      <c r="O83" s="143">
        <f t="shared" si="21"/>
        <v>2</v>
      </c>
      <c r="P83" s="140">
        <v>400</v>
      </c>
      <c r="Q83" s="159">
        <f t="shared" si="23"/>
        <v>800</v>
      </c>
      <c r="R83" s="140">
        <v>2</v>
      </c>
      <c r="S83" s="151">
        <f t="shared" si="24"/>
        <v>800</v>
      </c>
      <c r="T83" s="140">
        <v>0</v>
      </c>
      <c r="U83" s="151">
        <f t="shared" si="25"/>
        <v>0</v>
      </c>
      <c r="V83" s="140">
        <v>0</v>
      </c>
      <c r="W83" s="151">
        <f t="shared" si="26"/>
        <v>0</v>
      </c>
      <c r="X83" s="140">
        <v>0</v>
      </c>
      <c r="Y83" s="151">
        <f t="shared" si="27"/>
        <v>0</v>
      </c>
      <c r="Z83" s="146"/>
      <c r="AA83" s="155">
        <f t="shared" si="28"/>
        <v>2</v>
      </c>
      <c r="AB83" s="155">
        <f t="shared" si="19"/>
        <v>0</v>
      </c>
      <c r="AC83" s="149">
        <f t="shared" si="17"/>
        <v>0.5</v>
      </c>
      <c r="AD83" s="156">
        <f t="shared" si="20"/>
        <v>200</v>
      </c>
      <c r="AG83" s="149">
        <v>2</v>
      </c>
      <c r="AH83" s="149">
        <v>700</v>
      </c>
      <c r="AI83" s="150" t="s">
        <v>1352</v>
      </c>
      <c r="AJ83" s="206">
        <f t="shared" si="22"/>
        <v>2.4000000000000004</v>
      </c>
    </row>
    <row r="84" spans="1:38" ht="15">
      <c r="A84" s="140">
        <v>10949</v>
      </c>
      <c r="B84" s="140">
        <v>78</v>
      </c>
      <c r="C84" s="212">
        <v>554312</v>
      </c>
      <c r="D84" s="147" t="s">
        <v>1325</v>
      </c>
      <c r="E84" s="152" t="s">
        <v>529</v>
      </c>
      <c r="F84" s="153">
        <v>1</v>
      </c>
      <c r="G84" s="146" t="s">
        <v>1245</v>
      </c>
      <c r="H84" s="140">
        <v>500</v>
      </c>
      <c r="I84" s="140" t="s">
        <v>376</v>
      </c>
      <c r="J84" s="140">
        <v>10.94</v>
      </c>
      <c r="K84" s="142">
        <v>12</v>
      </c>
      <c r="L84" s="142">
        <v>9.600000000000001</v>
      </c>
      <c r="M84" s="143">
        <v>12</v>
      </c>
      <c r="N84" s="144">
        <v>4</v>
      </c>
      <c r="O84" s="143">
        <f t="shared" si="21"/>
        <v>8</v>
      </c>
      <c r="P84" s="160">
        <v>550</v>
      </c>
      <c r="Q84" s="159">
        <f t="shared" si="23"/>
        <v>4400</v>
      </c>
      <c r="R84" s="140">
        <v>2</v>
      </c>
      <c r="S84" s="151">
        <f t="shared" si="24"/>
        <v>1100</v>
      </c>
      <c r="T84" s="142">
        <v>2</v>
      </c>
      <c r="U84" s="151">
        <f t="shared" si="25"/>
        <v>1100</v>
      </c>
      <c r="V84" s="140">
        <v>2</v>
      </c>
      <c r="W84" s="151">
        <f t="shared" si="26"/>
        <v>1100</v>
      </c>
      <c r="X84" s="142">
        <v>2</v>
      </c>
      <c r="Y84" s="151">
        <f t="shared" si="27"/>
        <v>1100</v>
      </c>
      <c r="Z84" s="146"/>
      <c r="AA84" s="155">
        <f t="shared" si="28"/>
        <v>8</v>
      </c>
      <c r="AB84" s="155">
        <f t="shared" si="19"/>
        <v>0</v>
      </c>
      <c r="AC84" s="149">
        <f aca="true" t="shared" si="29" ref="AC84:AC136">O84/4</f>
        <v>2</v>
      </c>
      <c r="AD84" s="156">
        <f t="shared" si="20"/>
        <v>1100</v>
      </c>
      <c r="AG84" s="149">
        <v>8</v>
      </c>
      <c r="AH84" s="149">
        <v>4400</v>
      </c>
      <c r="AI84" s="150" t="s">
        <v>1352</v>
      </c>
      <c r="AJ84" s="206">
        <f t="shared" si="22"/>
        <v>9.600000000000001</v>
      </c>
      <c r="AL84" s="149">
        <f aca="true" t="shared" si="30" ref="AL84:AL132">AK84/H84</f>
        <v>0</v>
      </c>
    </row>
    <row r="85" spans="1:38" ht="15">
      <c r="A85" s="140">
        <v>10949</v>
      </c>
      <c r="B85" s="140">
        <v>79</v>
      </c>
      <c r="C85" s="146" t="s">
        <v>726</v>
      </c>
      <c r="D85" s="147" t="s">
        <v>725</v>
      </c>
      <c r="E85" s="152" t="s">
        <v>530</v>
      </c>
      <c r="F85" s="188">
        <v>1</v>
      </c>
      <c r="G85" s="146" t="s">
        <v>1245</v>
      </c>
      <c r="H85" s="153">
        <v>100</v>
      </c>
      <c r="I85" s="153" t="s">
        <v>376</v>
      </c>
      <c r="J85" s="140">
        <v>124</v>
      </c>
      <c r="K85" s="142">
        <v>101</v>
      </c>
      <c r="L85" s="142">
        <v>98.39999999999999</v>
      </c>
      <c r="M85" s="143">
        <v>100</v>
      </c>
      <c r="N85" s="144">
        <v>20</v>
      </c>
      <c r="O85" s="143">
        <f t="shared" si="21"/>
        <v>80</v>
      </c>
      <c r="P85" s="163">
        <v>205.46011627906975</v>
      </c>
      <c r="Q85" s="159">
        <f t="shared" si="23"/>
        <v>16436.80930232558</v>
      </c>
      <c r="R85" s="140">
        <v>20</v>
      </c>
      <c r="S85" s="151">
        <f t="shared" si="24"/>
        <v>4109.202325581395</v>
      </c>
      <c r="T85" s="142">
        <v>20</v>
      </c>
      <c r="U85" s="151">
        <f t="shared" si="25"/>
        <v>4109.202325581395</v>
      </c>
      <c r="V85" s="140">
        <v>20</v>
      </c>
      <c r="W85" s="151">
        <f t="shared" si="26"/>
        <v>4109.202325581395</v>
      </c>
      <c r="X85" s="142">
        <v>20</v>
      </c>
      <c r="Y85" s="151">
        <f t="shared" si="27"/>
        <v>4109.202325581395</v>
      </c>
      <c r="Z85" s="146"/>
      <c r="AA85" s="155">
        <f t="shared" si="28"/>
        <v>80</v>
      </c>
      <c r="AB85" s="155">
        <f t="shared" si="19"/>
        <v>0</v>
      </c>
      <c r="AC85" s="149">
        <f t="shared" si="29"/>
        <v>20</v>
      </c>
      <c r="AD85" s="156">
        <f t="shared" si="20"/>
        <v>4109.202325581395</v>
      </c>
      <c r="AG85" s="149">
        <v>82</v>
      </c>
      <c r="AH85" s="149">
        <v>16758.339999999997</v>
      </c>
      <c r="AI85" s="150" t="s">
        <v>1300</v>
      </c>
      <c r="AJ85" s="206">
        <f t="shared" si="22"/>
        <v>98.39999999999999</v>
      </c>
      <c r="AL85" s="149">
        <f t="shared" si="30"/>
        <v>0</v>
      </c>
    </row>
    <row r="86" spans="1:38" ht="15">
      <c r="A86" s="140">
        <v>10949</v>
      </c>
      <c r="B86" s="140">
        <v>80</v>
      </c>
      <c r="C86" s="146"/>
      <c r="D86" s="147"/>
      <c r="E86" s="191" t="s">
        <v>46</v>
      </c>
      <c r="F86" s="153">
        <v>1</v>
      </c>
      <c r="G86" s="154" t="s">
        <v>1245</v>
      </c>
      <c r="H86" s="140">
        <v>100</v>
      </c>
      <c r="I86" s="140" t="s">
        <v>376</v>
      </c>
      <c r="J86" s="140">
        <f>39*500/100</f>
        <v>195</v>
      </c>
      <c r="K86" s="142">
        <v>211</v>
      </c>
      <c r="L86" s="142">
        <v>274.79999999999995</v>
      </c>
      <c r="M86" s="143">
        <v>238</v>
      </c>
      <c r="N86" s="144">
        <v>38</v>
      </c>
      <c r="O86" s="143">
        <f t="shared" si="21"/>
        <v>200</v>
      </c>
      <c r="P86" s="140">
        <v>58.85</v>
      </c>
      <c r="Q86" s="159">
        <f t="shared" si="23"/>
        <v>11770</v>
      </c>
      <c r="R86" s="140">
        <v>50</v>
      </c>
      <c r="S86" s="151">
        <f t="shared" si="24"/>
        <v>2942.5</v>
      </c>
      <c r="T86" s="142">
        <v>50</v>
      </c>
      <c r="U86" s="151">
        <f t="shared" si="25"/>
        <v>2942.5</v>
      </c>
      <c r="V86" s="140">
        <v>50</v>
      </c>
      <c r="W86" s="151">
        <f t="shared" si="26"/>
        <v>2942.5</v>
      </c>
      <c r="X86" s="142">
        <v>50</v>
      </c>
      <c r="Y86" s="151">
        <f t="shared" si="27"/>
        <v>2942.5</v>
      </c>
      <c r="Z86" s="146"/>
      <c r="AA86" s="155">
        <f t="shared" si="28"/>
        <v>200</v>
      </c>
      <c r="AB86" s="155">
        <f t="shared" si="19"/>
        <v>0</v>
      </c>
      <c r="AC86" s="149">
        <f t="shared" si="29"/>
        <v>50</v>
      </c>
      <c r="AD86" s="156">
        <f t="shared" si="20"/>
        <v>2942.5</v>
      </c>
      <c r="AG86" s="149">
        <v>229</v>
      </c>
      <c r="AH86" s="149">
        <v>13476.65</v>
      </c>
      <c r="AI86" s="150" t="s">
        <v>1352</v>
      </c>
      <c r="AJ86" s="206">
        <f t="shared" si="22"/>
        <v>274.79999999999995</v>
      </c>
      <c r="AL86" s="149">
        <f t="shared" si="30"/>
        <v>0</v>
      </c>
    </row>
    <row r="87" spans="1:47" ht="15">
      <c r="A87" s="140">
        <v>10949</v>
      </c>
      <c r="B87" s="140">
        <v>81</v>
      </c>
      <c r="C87" s="146" t="s">
        <v>728</v>
      </c>
      <c r="D87" s="147" t="s">
        <v>727</v>
      </c>
      <c r="E87" s="191" t="s">
        <v>47</v>
      </c>
      <c r="F87" s="153">
        <v>1</v>
      </c>
      <c r="G87" s="154" t="s">
        <v>1247</v>
      </c>
      <c r="H87" s="140">
        <v>5</v>
      </c>
      <c r="I87" s="140" t="s">
        <v>1238</v>
      </c>
      <c r="J87" s="140">
        <v>2448</v>
      </c>
      <c r="K87" s="142">
        <v>2508</v>
      </c>
      <c r="L87" s="142">
        <v>1929.6000000000001</v>
      </c>
      <c r="M87" s="143">
        <v>2400</v>
      </c>
      <c r="N87" s="144">
        <v>400</v>
      </c>
      <c r="O87" s="143">
        <f t="shared" si="21"/>
        <v>2000</v>
      </c>
      <c r="P87" s="140">
        <v>6</v>
      </c>
      <c r="Q87" s="159">
        <f t="shared" si="23"/>
        <v>12000</v>
      </c>
      <c r="R87" s="140">
        <v>500</v>
      </c>
      <c r="S87" s="151">
        <f t="shared" si="24"/>
        <v>3000</v>
      </c>
      <c r="T87" s="142">
        <v>500</v>
      </c>
      <c r="U87" s="151">
        <f t="shared" si="25"/>
        <v>3000</v>
      </c>
      <c r="V87" s="140">
        <v>500</v>
      </c>
      <c r="W87" s="151">
        <f t="shared" si="26"/>
        <v>3000</v>
      </c>
      <c r="X87" s="142">
        <v>500</v>
      </c>
      <c r="Y87" s="151">
        <f t="shared" si="27"/>
        <v>3000</v>
      </c>
      <c r="Z87" s="146"/>
      <c r="AA87" s="155">
        <f t="shared" si="28"/>
        <v>2000</v>
      </c>
      <c r="AB87" s="155">
        <f t="shared" si="19"/>
        <v>0</v>
      </c>
      <c r="AC87" s="149">
        <f t="shared" si="29"/>
        <v>500</v>
      </c>
      <c r="AD87" s="156">
        <f t="shared" si="20"/>
        <v>3000</v>
      </c>
      <c r="AG87" s="149">
        <v>1608</v>
      </c>
      <c r="AH87" s="149">
        <v>9326.400000000009</v>
      </c>
      <c r="AI87" s="150" t="s">
        <v>1356</v>
      </c>
      <c r="AJ87" s="206">
        <f t="shared" si="22"/>
        <v>1929.6000000000001</v>
      </c>
      <c r="AL87" s="149">
        <f t="shared" si="30"/>
        <v>0</v>
      </c>
      <c r="AO87" s="214"/>
      <c r="AP87" s="214"/>
      <c r="AQ87" s="214"/>
      <c r="AR87" s="214"/>
      <c r="AS87" s="214"/>
      <c r="AT87" s="214"/>
      <c r="AU87" s="214"/>
    </row>
    <row r="88" spans="1:47" s="214" customFormat="1" ht="15">
      <c r="A88" s="140">
        <v>10949</v>
      </c>
      <c r="B88" s="140">
        <v>82</v>
      </c>
      <c r="C88" s="146" t="s">
        <v>730</v>
      </c>
      <c r="D88" s="147" t="s">
        <v>729</v>
      </c>
      <c r="E88" s="191" t="s">
        <v>48</v>
      </c>
      <c r="F88" s="153">
        <v>1</v>
      </c>
      <c r="G88" s="154" t="s">
        <v>1262</v>
      </c>
      <c r="H88" s="140">
        <v>6</v>
      </c>
      <c r="I88" s="140" t="s">
        <v>376</v>
      </c>
      <c r="J88" s="140">
        <v>566</v>
      </c>
      <c r="K88" s="142">
        <v>566</v>
      </c>
      <c r="L88" s="142">
        <v>470.40000000000003</v>
      </c>
      <c r="M88" s="143">
        <v>560</v>
      </c>
      <c r="N88" s="144">
        <v>160</v>
      </c>
      <c r="O88" s="143">
        <f t="shared" si="21"/>
        <v>400</v>
      </c>
      <c r="P88" s="140">
        <v>11</v>
      </c>
      <c r="Q88" s="159">
        <f t="shared" si="23"/>
        <v>4400</v>
      </c>
      <c r="R88" s="140">
        <v>100</v>
      </c>
      <c r="S88" s="151">
        <f t="shared" si="24"/>
        <v>1100</v>
      </c>
      <c r="T88" s="142">
        <v>100</v>
      </c>
      <c r="U88" s="151">
        <f t="shared" si="25"/>
        <v>1100</v>
      </c>
      <c r="V88" s="140">
        <v>100</v>
      </c>
      <c r="W88" s="151">
        <f t="shared" si="26"/>
        <v>1100</v>
      </c>
      <c r="X88" s="142">
        <v>100</v>
      </c>
      <c r="Y88" s="151">
        <f t="shared" si="27"/>
        <v>1100</v>
      </c>
      <c r="Z88" s="146"/>
      <c r="AA88" s="155">
        <f t="shared" si="28"/>
        <v>400</v>
      </c>
      <c r="AB88" s="155">
        <f t="shared" si="19"/>
        <v>0</v>
      </c>
      <c r="AC88" s="149">
        <f t="shared" si="29"/>
        <v>100</v>
      </c>
      <c r="AD88" s="156">
        <f t="shared" si="20"/>
        <v>1100</v>
      </c>
      <c r="AE88" s="148"/>
      <c r="AF88" s="148"/>
      <c r="AG88" s="149">
        <v>392</v>
      </c>
      <c r="AH88" s="149">
        <v>2704.8</v>
      </c>
      <c r="AI88" s="150" t="s">
        <v>1352</v>
      </c>
      <c r="AJ88" s="206">
        <f t="shared" si="22"/>
        <v>470.40000000000003</v>
      </c>
      <c r="AK88" s="149"/>
      <c r="AL88" s="149">
        <f t="shared" si="30"/>
        <v>0</v>
      </c>
      <c r="AM88" s="149"/>
      <c r="AN88" s="149"/>
      <c r="AO88" s="149"/>
      <c r="AP88" s="149"/>
      <c r="AQ88" s="149"/>
      <c r="AR88" s="149"/>
      <c r="AS88" s="149"/>
      <c r="AT88" s="149"/>
      <c r="AU88" s="149"/>
    </row>
    <row r="89" spans="1:38" ht="15">
      <c r="A89" s="140">
        <v>10949</v>
      </c>
      <c r="B89" s="140">
        <v>83</v>
      </c>
      <c r="C89" s="146" t="s">
        <v>732</v>
      </c>
      <c r="D89" s="147" t="s">
        <v>731</v>
      </c>
      <c r="E89" s="191" t="s">
        <v>49</v>
      </c>
      <c r="F89" s="153">
        <v>1</v>
      </c>
      <c r="G89" s="154" t="s">
        <v>1256</v>
      </c>
      <c r="H89" s="140">
        <v>1</v>
      </c>
      <c r="I89" s="140" t="s">
        <v>378</v>
      </c>
      <c r="J89" s="140">
        <v>1150</v>
      </c>
      <c r="K89" s="142">
        <v>150</v>
      </c>
      <c r="L89" s="142">
        <v>0</v>
      </c>
      <c r="M89" s="143">
        <v>450</v>
      </c>
      <c r="N89" s="144">
        <v>600</v>
      </c>
      <c r="O89" s="143">
        <v>0</v>
      </c>
      <c r="P89" s="140">
        <v>16</v>
      </c>
      <c r="Q89" s="159">
        <f t="shared" si="23"/>
        <v>0</v>
      </c>
      <c r="R89" s="140">
        <v>0</v>
      </c>
      <c r="S89" s="151">
        <f t="shared" si="24"/>
        <v>0</v>
      </c>
      <c r="T89" s="142">
        <v>0</v>
      </c>
      <c r="U89" s="151">
        <f t="shared" si="25"/>
        <v>0</v>
      </c>
      <c r="V89" s="140">
        <v>0</v>
      </c>
      <c r="W89" s="151">
        <f t="shared" si="26"/>
        <v>0</v>
      </c>
      <c r="X89" s="142">
        <v>0</v>
      </c>
      <c r="Y89" s="151">
        <f t="shared" si="27"/>
        <v>0</v>
      </c>
      <c r="Z89" s="146"/>
      <c r="AA89" s="155">
        <f t="shared" si="28"/>
        <v>0</v>
      </c>
      <c r="AB89" s="155">
        <f t="shared" si="19"/>
        <v>0</v>
      </c>
      <c r="AC89" s="149">
        <f t="shared" si="29"/>
        <v>0</v>
      </c>
      <c r="AD89" s="156">
        <f t="shared" si="20"/>
        <v>0</v>
      </c>
      <c r="AI89" s="217" t="s">
        <v>1356</v>
      </c>
      <c r="AJ89" s="206">
        <f t="shared" si="22"/>
        <v>0</v>
      </c>
      <c r="AK89" s="214"/>
      <c r="AL89" s="149">
        <f t="shared" si="30"/>
        <v>0</v>
      </c>
    </row>
    <row r="90" spans="1:38" ht="15">
      <c r="A90" s="140">
        <v>10949</v>
      </c>
      <c r="B90" s="140">
        <v>84</v>
      </c>
      <c r="C90" s="146" t="s">
        <v>734</v>
      </c>
      <c r="D90" s="147" t="s">
        <v>733</v>
      </c>
      <c r="E90" s="191" t="s">
        <v>467</v>
      </c>
      <c r="F90" s="153">
        <v>1</v>
      </c>
      <c r="G90" s="154" t="s">
        <v>1245</v>
      </c>
      <c r="H90" s="144">
        <v>100</v>
      </c>
      <c r="I90" s="144" t="s">
        <v>376</v>
      </c>
      <c r="J90" s="140">
        <v>155</v>
      </c>
      <c r="K90" s="142">
        <v>139</v>
      </c>
      <c r="L90" s="142">
        <v>169.2</v>
      </c>
      <c r="M90" s="143">
        <v>170</v>
      </c>
      <c r="N90" s="144">
        <v>50</v>
      </c>
      <c r="O90" s="143">
        <f t="shared" si="21"/>
        <v>120</v>
      </c>
      <c r="P90" s="159">
        <v>270.068</v>
      </c>
      <c r="Q90" s="159">
        <f t="shared" si="23"/>
        <v>32408.159999999996</v>
      </c>
      <c r="R90" s="140">
        <v>30</v>
      </c>
      <c r="S90" s="151">
        <f t="shared" si="24"/>
        <v>8102.039999999999</v>
      </c>
      <c r="T90" s="142">
        <v>30</v>
      </c>
      <c r="U90" s="151">
        <f t="shared" si="25"/>
        <v>8102.039999999999</v>
      </c>
      <c r="V90" s="140">
        <v>30</v>
      </c>
      <c r="W90" s="151">
        <f t="shared" si="26"/>
        <v>8102.039999999999</v>
      </c>
      <c r="X90" s="142">
        <v>30</v>
      </c>
      <c r="Y90" s="151">
        <f t="shared" si="27"/>
        <v>8102.039999999999</v>
      </c>
      <c r="Z90" s="215"/>
      <c r="AA90" s="155">
        <f t="shared" si="28"/>
        <v>120</v>
      </c>
      <c r="AB90" s="155">
        <f t="shared" si="19"/>
        <v>0</v>
      </c>
      <c r="AC90" s="149">
        <f t="shared" si="29"/>
        <v>30</v>
      </c>
      <c r="AD90" s="156">
        <f t="shared" si="20"/>
        <v>8102.039999999999</v>
      </c>
      <c r="AG90" s="214">
        <v>141</v>
      </c>
      <c r="AH90" s="149">
        <v>19840</v>
      </c>
      <c r="AI90" s="150" t="s">
        <v>1356</v>
      </c>
      <c r="AJ90" s="206">
        <f t="shared" si="22"/>
        <v>169.2</v>
      </c>
      <c r="AL90" s="149">
        <f t="shared" si="30"/>
        <v>0</v>
      </c>
    </row>
    <row r="91" spans="1:40" ht="15">
      <c r="A91" s="140">
        <v>10949</v>
      </c>
      <c r="B91" s="140">
        <v>85</v>
      </c>
      <c r="C91" s="146" t="s">
        <v>736</v>
      </c>
      <c r="D91" s="147" t="s">
        <v>735</v>
      </c>
      <c r="E91" s="191" t="s">
        <v>466</v>
      </c>
      <c r="F91" s="153">
        <v>1</v>
      </c>
      <c r="G91" s="154" t="s">
        <v>1245</v>
      </c>
      <c r="H91" s="144">
        <v>100</v>
      </c>
      <c r="I91" s="144" t="s">
        <v>376</v>
      </c>
      <c r="J91" s="140">
        <v>28</v>
      </c>
      <c r="K91" s="142">
        <v>36</v>
      </c>
      <c r="L91" s="142">
        <v>24</v>
      </c>
      <c r="M91" s="143">
        <v>31</v>
      </c>
      <c r="N91" s="144">
        <v>3</v>
      </c>
      <c r="O91" s="143">
        <f t="shared" si="21"/>
        <v>28</v>
      </c>
      <c r="P91" s="140">
        <v>112.136</v>
      </c>
      <c r="Q91" s="159">
        <f t="shared" si="23"/>
        <v>3139.808</v>
      </c>
      <c r="R91" s="140">
        <v>10</v>
      </c>
      <c r="S91" s="151">
        <f t="shared" si="24"/>
        <v>1121.36</v>
      </c>
      <c r="T91" s="142">
        <v>10</v>
      </c>
      <c r="U91" s="151">
        <f t="shared" si="25"/>
        <v>1121.36</v>
      </c>
      <c r="V91" s="140">
        <v>0</v>
      </c>
      <c r="W91" s="151">
        <f t="shared" si="26"/>
        <v>0</v>
      </c>
      <c r="X91" s="142">
        <v>8</v>
      </c>
      <c r="Y91" s="151">
        <f t="shared" si="27"/>
        <v>897.088</v>
      </c>
      <c r="Z91" s="146"/>
      <c r="AA91" s="155">
        <f t="shared" si="28"/>
        <v>28</v>
      </c>
      <c r="AB91" s="155">
        <f t="shared" si="19"/>
        <v>0</v>
      </c>
      <c r="AC91" s="149">
        <f t="shared" si="29"/>
        <v>7</v>
      </c>
      <c r="AD91" s="156">
        <f t="shared" si="20"/>
        <v>784.952</v>
      </c>
      <c r="AG91" s="149">
        <v>20</v>
      </c>
      <c r="AH91" s="149">
        <v>2240</v>
      </c>
      <c r="AI91" s="150" t="s">
        <v>1352</v>
      </c>
      <c r="AJ91" s="206">
        <f t="shared" si="22"/>
        <v>24</v>
      </c>
      <c r="AL91" s="149">
        <f t="shared" si="30"/>
        <v>0</v>
      </c>
      <c r="AM91" s="214"/>
      <c r="AN91" s="214"/>
    </row>
    <row r="92" spans="1:38" ht="15">
      <c r="A92" s="140">
        <v>10949</v>
      </c>
      <c r="B92" s="140">
        <v>86</v>
      </c>
      <c r="C92" s="146" t="s">
        <v>738</v>
      </c>
      <c r="D92" s="147" t="s">
        <v>737</v>
      </c>
      <c r="E92" s="191" t="s">
        <v>50</v>
      </c>
      <c r="F92" s="153">
        <v>1</v>
      </c>
      <c r="G92" s="154" t="s">
        <v>1263</v>
      </c>
      <c r="H92" s="140">
        <v>1000</v>
      </c>
      <c r="I92" s="140" t="s">
        <v>1250</v>
      </c>
      <c r="J92" s="140">
        <v>45</v>
      </c>
      <c r="K92" s="142">
        <v>15</v>
      </c>
      <c r="L92" s="142">
        <v>48</v>
      </c>
      <c r="M92" s="143">
        <v>50</v>
      </c>
      <c r="N92" s="144">
        <v>0</v>
      </c>
      <c r="O92" s="143">
        <f t="shared" si="21"/>
        <v>50</v>
      </c>
      <c r="P92" s="140">
        <v>170</v>
      </c>
      <c r="Q92" s="159">
        <f t="shared" si="23"/>
        <v>8500</v>
      </c>
      <c r="R92" s="140">
        <v>15</v>
      </c>
      <c r="S92" s="151">
        <f t="shared" si="24"/>
        <v>2550</v>
      </c>
      <c r="T92" s="142">
        <v>10</v>
      </c>
      <c r="U92" s="151">
        <f t="shared" si="25"/>
        <v>1700</v>
      </c>
      <c r="V92" s="140">
        <v>15</v>
      </c>
      <c r="W92" s="151">
        <f t="shared" si="26"/>
        <v>2550</v>
      </c>
      <c r="X92" s="142">
        <v>10</v>
      </c>
      <c r="Y92" s="151">
        <f t="shared" si="27"/>
        <v>1700</v>
      </c>
      <c r="Z92" s="146"/>
      <c r="AA92" s="155">
        <f t="shared" si="28"/>
        <v>50</v>
      </c>
      <c r="AB92" s="155">
        <f t="shared" si="19"/>
        <v>0</v>
      </c>
      <c r="AC92" s="149">
        <f t="shared" si="29"/>
        <v>12.5</v>
      </c>
      <c r="AD92" s="156">
        <f t="shared" si="20"/>
        <v>2125</v>
      </c>
      <c r="AG92" s="149">
        <v>40</v>
      </c>
      <c r="AH92" s="149">
        <v>6800</v>
      </c>
      <c r="AI92" s="150" t="s">
        <v>1352</v>
      </c>
      <c r="AJ92" s="206">
        <f t="shared" si="22"/>
        <v>48</v>
      </c>
      <c r="AL92" s="149">
        <f t="shared" si="30"/>
        <v>0</v>
      </c>
    </row>
    <row r="93" spans="1:38" ht="15">
      <c r="A93" s="140">
        <v>10949</v>
      </c>
      <c r="B93" s="140">
        <v>87</v>
      </c>
      <c r="C93" s="146" t="s">
        <v>740</v>
      </c>
      <c r="D93" s="147" t="s">
        <v>739</v>
      </c>
      <c r="E93" s="191" t="s">
        <v>473</v>
      </c>
      <c r="F93" s="153">
        <v>1</v>
      </c>
      <c r="G93" s="154" t="s">
        <v>1256</v>
      </c>
      <c r="H93" s="140">
        <v>1</v>
      </c>
      <c r="I93" s="140" t="s">
        <v>392</v>
      </c>
      <c r="J93" s="140">
        <v>1170</v>
      </c>
      <c r="K93" s="142">
        <v>880</v>
      </c>
      <c r="L93" s="142">
        <v>324</v>
      </c>
      <c r="M93" s="143">
        <v>600</v>
      </c>
      <c r="N93" s="144">
        <v>200</v>
      </c>
      <c r="O93" s="143">
        <f t="shared" si="21"/>
        <v>400</v>
      </c>
      <c r="P93" s="140">
        <v>40</v>
      </c>
      <c r="Q93" s="159">
        <f t="shared" si="23"/>
        <v>16000</v>
      </c>
      <c r="R93" s="140">
        <v>0</v>
      </c>
      <c r="S93" s="151">
        <f t="shared" si="24"/>
        <v>0</v>
      </c>
      <c r="T93" s="142">
        <v>200</v>
      </c>
      <c r="U93" s="151">
        <f t="shared" si="25"/>
        <v>8000</v>
      </c>
      <c r="V93" s="140">
        <v>0</v>
      </c>
      <c r="W93" s="151">
        <f t="shared" si="26"/>
        <v>0</v>
      </c>
      <c r="X93" s="142">
        <v>200</v>
      </c>
      <c r="Y93" s="151">
        <f t="shared" si="27"/>
        <v>8000</v>
      </c>
      <c r="Z93" s="146"/>
      <c r="AA93" s="155">
        <f t="shared" si="28"/>
        <v>400</v>
      </c>
      <c r="AB93" s="155">
        <f t="shared" si="19"/>
        <v>0</v>
      </c>
      <c r="AC93" s="149">
        <f t="shared" si="29"/>
        <v>100</v>
      </c>
      <c r="AD93" s="156">
        <f t="shared" si="20"/>
        <v>4000</v>
      </c>
      <c r="AG93" s="149">
        <v>270</v>
      </c>
      <c r="AH93" s="149">
        <v>7438.5</v>
      </c>
      <c r="AI93" s="150" t="s">
        <v>1352</v>
      </c>
      <c r="AJ93" s="206">
        <f t="shared" si="22"/>
        <v>324</v>
      </c>
      <c r="AL93" s="149">
        <f t="shared" si="30"/>
        <v>0</v>
      </c>
    </row>
    <row r="94" spans="1:38" ht="15">
      <c r="A94" s="140">
        <v>10949</v>
      </c>
      <c r="B94" s="140">
        <v>88</v>
      </c>
      <c r="C94" s="146" t="s">
        <v>742</v>
      </c>
      <c r="D94" s="147" t="s">
        <v>741</v>
      </c>
      <c r="E94" s="191" t="s">
        <v>1197</v>
      </c>
      <c r="F94" s="153">
        <v>1</v>
      </c>
      <c r="G94" s="154" t="s">
        <v>1252</v>
      </c>
      <c r="H94" s="140">
        <v>100</v>
      </c>
      <c r="I94" s="140" t="s">
        <v>1253</v>
      </c>
      <c r="J94" s="140">
        <v>243</v>
      </c>
      <c r="K94" s="142">
        <v>226</v>
      </c>
      <c r="L94" s="142">
        <v>188.39999999999998</v>
      </c>
      <c r="M94" s="143">
        <v>230</v>
      </c>
      <c r="N94" s="144">
        <v>30</v>
      </c>
      <c r="O94" s="143">
        <f t="shared" si="21"/>
        <v>200</v>
      </c>
      <c r="P94" s="140">
        <v>350</v>
      </c>
      <c r="Q94" s="159">
        <f t="shared" si="23"/>
        <v>70000</v>
      </c>
      <c r="R94" s="140">
        <v>50</v>
      </c>
      <c r="S94" s="151">
        <f t="shared" si="24"/>
        <v>17500</v>
      </c>
      <c r="T94" s="142">
        <v>50</v>
      </c>
      <c r="U94" s="151">
        <f t="shared" si="25"/>
        <v>17500</v>
      </c>
      <c r="V94" s="140">
        <v>50</v>
      </c>
      <c r="W94" s="151">
        <f t="shared" si="26"/>
        <v>17500</v>
      </c>
      <c r="X94" s="142">
        <v>50</v>
      </c>
      <c r="Y94" s="151">
        <f t="shared" si="27"/>
        <v>17500</v>
      </c>
      <c r="Z94" s="146"/>
      <c r="AA94" s="155">
        <f t="shared" si="28"/>
        <v>200</v>
      </c>
      <c r="AB94" s="155">
        <f t="shared" si="19"/>
        <v>0</v>
      </c>
      <c r="AC94" s="149">
        <f t="shared" si="29"/>
        <v>50</v>
      </c>
      <c r="AD94" s="156">
        <f t="shared" si="20"/>
        <v>17500</v>
      </c>
      <c r="AG94" s="149">
        <v>157</v>
      </c>
      <c r="AH94" s="149">
        <v>48670</v>
      </c>
      <c r="AI94" s="150" t="s">
        <v>1352</v>
      </c>
      <c r="AJ94" s="206">
        <f t="shared" si="22"/>
        <v>188.39999999999998</v>
      </c>
      <c r="AL94" s="149">
        <f t="shared" si="30"/>
        <v>0</v>
      </c>
    </row>
    <row r="95" spans="1:38" ht="15">
      <c r="A95" s="140">
        <v>10949</v>
      </c>
      <c r="B95" s="140">
        <v>89</v>
      </c>
      <c r="C95" s="212">
        <v>915450</v>
      </c>
      <c r="D95" s="147" t="s">
        <v>743</v>
      </c>
      <c r="E95" s="191" t="s">
        <v>51</v>
      </c>
      <c r="F95" s="153">
        <v>1</v>
      </c>
      <c r="G95" s="154" t="s">
        <v>1245</v>
      </c>
      <c r="H95" s="140">
        <v>500</v>
      </c>
      <c r="I95" s="140" t="s">
        <v>376</v>
      </c>
      <c r="J95" s="140">
        <v>61</v>
      </c>
      <c r="K95" s="142">
        <f>368*100/500</f>
        <v>73.6</v>
      </c>
      <c r="L95" s="142">
        <v>88.08000000000001</v>
      </c>
      <c r="M95" s="143">
        <v>90</v>
      </c>
      <c r="N95" s="144">
        <v>10</v>
      </c>
      <c r="O95" s="143">
        <f t="shared" si="21"/>
        <v>80</v>
      </c>
      <c r="P95" s="140">
        <v>160.5</v>
      </c>
      <c r="Q95" s="159">
        <f t="shared" si="23"/>
        <v>12840</v>
      </c>
      <c r="R95" s="140">
        <v>20</v>
      </c>
      <c r="S95" s="151">
        <f t="shared" si="24"/>
        <v>3210</v>
      </c>
      <c r="T95" s="142">
        <v>20</v>
      </c>
      <c r="U95" s="151">
        <f t="shared" si="25"/>
        <v>3210</v>
      </c>
      <c r="V95" s="140">
        <v>20</v>
      </c>
      <c r="W95" s="151">
        <f t="shared" si="26"/>
        <v>3210</v>
      </c>
      <c r="X95" s="142">
        <v>20</v>
      </c>
      <c r="Y95" s="151">
        <f t="shared" si="27"/>
        <v>3210</v>
      </c>
      <c r="Z95" s="146"/>
      <c r="AA95" s="155">
        <f t="shared" si="28"/>
        <v>80</v>
      </c>
      <c r="AB95" s="155">
        <f t="shared" si="19"/>
        <v>0</v>
      </c>
      <c r="AC95" s="149">
        <f t="shared" si="29"/>
        <v>20</v>
      </c>
      <c r="AD95" s="156">
        <f t="shared" si="20"/>
        <v>3210</v>
      </c>
      <c r="AG95" s="149">
        <v>73.4</v>
      </c>
      <c r="AH95" s="149">
        <v>15864</v>
      </c>
      <c r="AI95" s="150" t="s">
        <v>1356</v>
      </c>
      <c r="AJ95" s="206">
        <f t="shared" si="22"/>
        <v>88.08000000000001</v>
      </c>
      <c r="AL95" s="149">
        <f t="shared" si="30"/>
        <v>0</v>
      </c>
    </row>
    <row r="96" spans="1:38" ht="15">
      <c r="A96" s="140">
        <v>10949</v>
      </c>
      <c r="B96" s="140">
        <v>90</v>
      </c>
      <c r="C96" s="146" t="s">
        <v>745</v>
      </c>
      <c r="D96" s="147" t="s">
        <v>744</v>
      </c>
      <c r="E96" s="191" t="s">
        <v>52</v>
      </c>
      <c r="F96" s="153">
        <v>1</v>
      </c>
      <c r="G96" s="154" t="s">
        <v>1245</v>
      </c>
      <c r="H96" s="140">
        <v>100</v>
      </c>
      <c r="I96" s="140" t="s">
        <v>376</v>
      </c>
      <c r="J96" s="140">
        <v>23</v>
      </c>
      <c r="K96" s="142">
        <v>19</v>
      </c>
      <c r="L96" s="142">
        <v>26.400000000000002</v>
      </c>
      <c r="M96" s="143">
        <v>27</v>
      </c>
      <c r="N96" s="144">
        <v>7</v>
      </c>
      <c r="O96" s="143">
        <f t="shared" si="21"/>
        <v>20</v>
      </c>
      <c r="P96" s="140">
        <v>380</v>
      </c>
      <c r="Q96" s="159">
        <f t="shared" si="23"/>
        <v>7600</v>
      </c>
      <c r="R96" s="140">
        <v>0</v>
      </c>
      <c r="S96" s="151">
        <f t="shared" si="24"/>
        <v>0</v>
      </c>
      <c r="T96" s="142">
        <v>10</v>
      </c>
      <c r="U96" s="151">
        <f t="shared" si="25"/>
        <v>3800</v>
      </c>
      <c r="V96" s="140">
        <v>0</v>
      </c>
      <c r="W96" s="151">
        <f t="shared" si="26"/>
        <v>0</v>
      </c>
      <c r="X96" s="142">
        <v>10</v>
      </c>
      <c r="Y96" s="151">
        <f t="shared" si="27"/>
        <v>3800</v>
      </c>
      <c r="Z96" s="146"/>
      <c r="AA96" s="155">
        <f t="shared" si="28"/>
        <v>20</v>
      </c>
      <c r="AB96" s="155">
        <f t="shared" si="19"/>
        <v>0</v>
      </c>
      <c r="AC96" s="149">
        <f t="shared" si="29"/>
        <v>5</v>
      </c>
      <c r="AD96" s="156">
        <f t="shared" si="20"/>
        <v>1900</v>
      </c>
      <c r="AG96" s="149">
        <v>22</v>
      </c>
      <c r="AH96" s="149">
        <v>8360</v>
      </c>
      <c r="AI96" s="150" t="s">
        <v>1352</v>
      </c>
      <c r="AJ96" s="206">
        <f t="shared" si="22"/>
        <v>26.400000000000002</v>
      </c>
      <c r="AL96" s="149">
        <f t="shared" si="30"/>
        <v>0</v>
      </c>
    </row>
    <row r="97" spans="1:38" ht="15">
      <c r="A97" s="140">
        <v>10949</v>
      </c>
      <c r="B97" s="140">
        <v>91</v>
      </c>
      <c r="C97" s="212">
        <v>327346</v>
      </c>
      <c r="D97" s="147" t="s">
        <v>1326</v>
      </c>
      <c r="E97" s="191" t="s">
        <v>53</v>
      </c>
      <c r="F97" s="153">
        <v>1</v>
      </c>
      <c r="G97" s="154" t="s">
        <v>1249</v>
      </c>
      <c r="H97" s="140">
        <v>60</v>
      </c>
      <c r="I97" s="140" t="s">
        <v>1250</v>
      </c>
      <c r="J97" s="140">
        <v>450</v>
      </c>
      <c r="K97" s="142">
        <v>325</v>
      </c>
      <c r="L97" s="142">
        <v>324</v>
      </c>
      <c r="M97" s="143">
        <v>385</v>
      </c>
      <c r="N97" s="144">
        <v>185</v>
      </c>
      <c r="O97" s="143">
        <f t="shared" si="21"/>
        <v>200</v>
      </c>
      <c r="P97" s="140">
        <v>9.63</v>
      </c>
      <c r="Q97" s="159">
        <f t="shared" si="23"/>
        <v>1926.0000000000002</v>
      </c>
      <c r="R97" s="140">
        <v>0</v>
      </c>
      <c r="S97" s="151">
        <f t="shared" si="24"/>
        <v>0</v>
      </c>
      <c r="T97" s="142">
        <v>100</v>
      </c>
      <c r="U97" s="151">
        <f t="shared" si="25"/>
        <v>963.0000000000001</v>
      </c>
      <c r="V97" s="140">
        <v>0</v>
      </c>
      <c r="W97" s="151">
        <f t="shared" si="26"/>
        <v>0</v>
      </c>
      <c r="X97" s="142">
        <v>100</v>
      </c>
      <c r="Y97" s="151">
        <f t="shared" si="27"/>
        <v>963.0000000000001</v>
      </c>
      <c r="Z97" s="146"/>
      <c r="AA97" s="155">
        <f t="shared" si="28"/>
        <v>200</v>
      </c>
      <c r="AB97" s="155">
        <f t="shared" si="19"/>
        <v>0</v>
      </c>
      <c r="AC97" s="149">
        <f t="shared" si="29"/>
        <v>50</v>
      </c>
      <c r="AD97" s="156">
        <f t="shared" si="20"/>
        <v>481.50000000000006</v>
      </c>
      <c r="AG97" s="149">
        <v>270</v>
      </c>
      <c r="AH97" s="149">
        <v>2565</v>
      </c>
      <c r="AI97" s="150" t="s">
        <v>1352</v>
      </c>
      <c r="AJ97" s="206">
        <f t="shared" si="22"/>
        <v>324</v>
      </c>
      <c r="AL97" s="149">
        <f t="shared" si="30"/>
        <v>0</v>
      </c>
    </row>
    <row r="98" spans="1:38" ht="15">
      <c r="A98" s="140">
        <v>10949</v>
      </c>
      <c r="B98" s="140">
        <v>92</v>
      </c>
      <c r="C98" s="215"/>
      <c r="D98" s="216"/>
      <c r="E98" s="191" t="s">
        <v>54</v>
      </c>
      <c r="F98" s="153">
        <v>1</v>
      </c>
      <c r="G98" s="154" t="s">
        <v>1245</v>
      </c>
      <c r="H98" s="140">
        <v>500</v>
      </c>
      <c r="I98" s="140" t="s">
        <v>376</v>
      </c>
      <c r="J98" s="140">
        <v>31</v>
      </c>
      <c r="K98" s="142">
        <v>30</v>
      </c>
      <c r="L98" s="142">
        <v>28.799999999999997</v>
      </c>
      <c r="M98" s="143">
        <v>31</v>
      </c>
      <c r="N98" s="144">
        <v>11</v>
      </c>
      <c r="O98" s="143">
        <f t="shared" si="21"/>
        <v>20</v>
      </c>
      <c r="P98" s="140">
        <v>276.06</v>
      </c>
      <c r="Q98" s="159">
        <f t="shared" si="23"/>
        <v>5521.2</v>
      </c>
      <c r="R98" s="140">
        <v>0</v>
      </c>
      <c r="S98" s="151">
        <f t="shared" si="24"/>
        <v>0</v>
      </c>
      <c r="T98" s="142">
        <v>10</v>
      </c>
      <c r="U98" s="151">
        <f t="shared" si="25"/>
        <v>2760.6</v>
      </c>
      <c r="V98" s="140">
        <v>0</v>
      </c>
      <c r="W98" s="151">
        <f t="shared" si="26"/>
        <v>0</v>
      </c>
      <c r="X98" s="142">
        <v>10</v>
      </c>
      <c r="Y98" s="151">
        <f t="shared" si="27"/>
        <v>2760.6</v>
      </c>
      <c r="Z98" s="146"/>
      <c r="AA98" s="155">
        <f t="shared" si="28"/>
        <v>20</v>
      </c>
      <c r="AB98" s="155">
        <f t="shared" si="19"/>
        <v>0</v>
      </c>
      <c r="AC98" s="149">
        <f t="shared" si="29"/>
        <v>5</v>
      </c>
      <c r="AD98" s="156">
        <f t="shared" si="20"/>
        <v>1380.3</v>
      </c>
      <c r="AG98" s="149">
        <v>24</v>
      </c>
      <c r="AH98" s="149">
        <v>6390</v>
      </c>
      <c r="AI98" s="150" t="s">
        <v>1356</v>
      </c>
      <c r="AJ98" s="206">
        <f t="shared" si="22"/>
        <v>28.799999999999997</v>
      </c>
      <c r="AL98" s="149">
        <f t="shared" si="30"/>
        <v>0</v>
      </c>
    </row>
    <row r="99" spans="1:38" ht="15">
      <c r="A99" s="140">
        <v>10949</v>
      </c>
      <c r="B99" s="140">
        <v>93</v>
      </c>
      <c r="C99" s="146"/>
      <c r="D99" s="147"/>
      <c r="E99" s="152" t="s">
        <v>493</v>
      </c>
      <c r="F99" s="153">
        <v>1</v>
      </c>
      <c r="G99" s="146" t="s">
        <v>1245</v>
      </c>
      <c r="H99" s="140">
        <v>1000</v>
      </c>
      <c r="I99" s="140" t="s">
        <v>376</v>
      </c>
      <c r="J99" s="140">
        <v>6</v>
      </c>
      <c r="K99" s="142">
        <v>8</v>
      </c>
      <c r="L99" s="142">
        <v>6</v>
      </c>
      <c r="M99" s="143">
        <v>8</v>
      </c>
      <c r="N99" s="144">
        <v>2</v>
      </c>
      <c r="O99" s="143">
        <f t="shared" si="21"/>
        <v>6</v>
      </c>
      <c r="P99" s="159">
        <v>140.06</v>
      </c>
      <c r="Q99" s="159">
        <f t="shared" si="23"/>
        <v>840.36</v>
      </c>
      <c r="R99" s="140">
        <v>0</v>
      </c>
      <c r="S99" s="151">
        <f t="shared" si="24"/>
        <v>0</v>
      </c>
      <c r="T99" s="142">
        <v>6</v>
      </c>
      <c r="U99" s="151">
        <f t="shared" si="25"/>
        <v>840.36</v>
      </c>
      <c r="V99" s="140">
        <v>0</v>
      </c>
      <c r="W99" s="151">
        <f t="shared" si="26"/>
        <v>0</v>
      </c>
      <c r="X99" s="142">
        <v>0</v>
      </c>
      <c r="Y99" s="151">
        <f t="shared" si="27"/>
        <v>0</v>
      </c>
      <c r="Z99" s="146"/>
      <c r="AA99" s="155">
        <f t="shared" si="28"/>
        <v>6</v>
      </c>
      <c r="AB99" s="155">
        <f t="shared" si="19"/>
        <v>0</v>
      </c>
      <c r="AC99" s="149">
        <f t="shared" si="29"/>
        <v>1.5</v>
      </c>
      <c r="AD99" s="156">
        <f aca="true" t="shared" si="31" ref="AD99:AD136">Q99/4</f>
        <v>210.09</v>
      </c>
      <c r="AG99" s="149">
        <v>5</v>
      </c>
      <c r="AH99" s="149">
        <v>600</v>
      </c>
      <c r="AI99" s="150" t="s">
        <v>1352</v>
      </c>
      <c r="AJ99" s="206">
        <f t="shared" si="22"/>
        <v>6</v>
      </c>
      <c r="AL99" s="149">
        <f t="shared" si="30"/>
        <v>0</v>
      </c>
    </row>
    <row r="100" spans="1:38" ht="15">
      <c r="A100" s="130" t="s">
        <v>1199</v>
      </c>
      <c r="B100" s="130" t="s">
        <v>2</v>
      </c>
      <c r="C100" s="130" t="s">
        <v>1200</v>
      </c>
      <c r="D100" s="198" t="s">
        <v>1201</v>
      </c>
      <c r="E100" s="134" t="s">
        <v>1285</v>
      </c>
      <c r="F100" s="134" t="s">
        <v>1295</v>
      </c>
      <c r="G100" s="134" t="s">
        <v>1202</v>
      </c>
      <c r="H100" s="130" t="s">
        <v>1579</v>
      </c>
      <c r="I100" s="130" t="s">
        <v>1203</v>
      </c>
      <c r="J100" s="199"/>
      <c r="K100" s="131" t="s">
        <v>1205</v>
      </c>
      <c r="L100" s="132"/>
      <c r="M100" s="133" t="s">
        <v>0</v>
      </c>
      <c r="N100" s="134" t="s">
        <v>1214</v>
      </c>
      <c r="O100" s="133" t="s">
        <v>0</v>
      </c>
      <c r="P100" s="130" t="s">
        <v>1390</v>
      </c>
      <c r="Q100" s="200" t="s">
        <v>1206</v>
      </c>
      <c r="R100" s="201" t="s">
        <v>1289</v>
      </c>
      <c r="S100" s="132"/>
      <c r="T100" s="201" t="s">
        <v>1290</v>
      </c>
      <c r="U100" s="202"/>
      <c r="V100" s="201" t="s">
        <v>1291</v>
      </c>
      <c r="W100" s="132"/>
      <c r="X100" s="201" t="s">
        <v>1292</v>
      </c>
      <c r="Y100" s="202"/>
      <c r="Z100" s="203" t="s">
        <v>608</v>
      </c>
      <c r="AA100" s="204"/>
      <c r="AB100" s="204"/>
      <c r="AC100" s="149" t="s">
        <v>1318</v>
      </c>
      <c r="AD100" s="149" t="s">
        <v>1389</v>
      </c>
      <c r="AE100" s="205" t="s">
        <v>3</v>
      </c>
      <c r="AF100" s="205" t="s">
        <v>1349</v>
      </c>
      <c r="AG100" s="149" t="s">
        <v>1297</v>
      </c>
      <c r="AH100" s="149" t="s">
        <v>6</v>
      </c>
      <c r="AI100" s="150" t="s">
        <v>1307</v>
      </c>
      <c r="AJ100" s="206" t="s">
        <v>1303</v>
      </c>
      <c r="AK100" s="149" t="s">
        <v>4</v>
      </c>
      <c r="AL100" s="149" t="s">
        <v>1304</v>
      </c>
    </row>
    <row r="101" spans="1:35" ht="15">
      <c r="A101" s="135"/>
      <c r="B101" s="139"/>
      <c r="C101" s="207"/>
      <c r="D101" s="208"/>
      <c r="E101" s="136"/>
      <c r="F101" s="136" t="s">
        <v>1294</v>
      </c>
      <c r="G101" s="136"/>
      <c r="H101" s="139" t="s">
        <v>1204</v>
      </c>
      <c r="I101" s="136" t="s">
        <v>1204</v>
      </c>
      <c r="J101" s="136">
        <v>2562</v>
      </c>
      <c r="K101" s="136">
        <v>2563</v>
      </c>
      <c r="L101" s="137">
        <v>2564</v>
      </c>
      <c r="M101" s="138" t="s">
        <v>1537</v>
      </c>
      <c r="N101" s="136" t="s">
        <v>4</v>
      </c>
      <c r="O101" s="138" t="s">
        <v>1538</v>
      </c>
      <c r="P101" s="139" t="s">
        <v>1286</v>
      </c>
      <c r="Q101" s="209" t="s">
        <v>1391</v>
      </c>
      <c r="R101" s="210" t="s">
        <v>5</v>
      </c>
      <c r="S101" s="139" t="s">
        <v>1208</v>
      </c>
      <c r="T101" s="139" t="s">
        <v>5</v>
      </c>
      <c r="U101" s="211" t="s">
        <v>1208</v>
      </c>
      <c r="V101" s="210" t="s">
        <v>5</v>
      </c>
      <c r="W101" s="139" t="s">
        <v>1208</v>
      </c>
      <c r="X101" s="139" t="s">
        <v>5</v>
      </c>
      <c r="Y101" s="211" t="s">
        <v>1208</v>
      </c>
      <c r="Z101" s="207"/>
      <c r="AA101" s="197"/>
      <c r="AB101" s="197"/>
      <c r="AG101" s="149" t="s">
        <v>1494</v>
      </c>
      <c r="AH101" s="149" t="s">
        <v>1207</v>
      </c>
      <c r="AI101" s="150" t="s">
        <v>1308</v>
      </c>
    </row>
    <row r="102" spans="1:38" ht="15">
      <c r="A102" s="140">
        <v>10949</v>
      </c>
      <c r="B102" s="140">
        <v>94</v>
      </c>
      <c r="C102" s="146" t="s">
        <v>747</v>
      </c>
      <c r="D102" s="147" t="s">
        <v>746</v>
      </c>
      <c r="E102" s="191" t="s">
        <v>55</v>
      </c>
      <c r="F102" s="153">
        <v>1</v>
      </c>
      <c r="G102" s="154" t="s">
        <v>1245</v>
      </c>
      <c r="H102" s="140">
        <v>100</v>
      </c>
      <c r="I102" s="140" t="s">
        <v>376</v>
      </c>
      <c r="J102" s="140">
        <v>3</v>
      </c>
      <c r="K102" s="142">
        <v>0</v>
      </c>
      <c r="L102" s="142">
        <v>0</v>
      </c>
      <c r="M102" s="143">
        <v>1</v>
      </c>
      <c r="N102" s="144">
        <v>0</v>
      </c>
      <c r="O102" s="143">
        <f t="shared" si="21"/>
        <v>1</v>
      </c>
      <c r="P102" s="140">
        <v>1200</v>
      </c>
      <c r="Q102" s="159">
        <f t="shared" si="23"/>
        <v>1200</v>
      </c>
      <c r="R102" s="140">
        <v>0</v>
      </c>
      <c r="S102" s="151">
        <f t="shared" si="24"/>
        <v>0</v>
      </c>
      <c r="T102" s="142">
        <v>1</v>
      </c>
      <c r="U102" s="151">
        <f t="shared" si="25"/>
        <v>1200</v>
      </c>
      <c r="V102" s="140">
        <v>0</v>
      </c>
      <c r="W102" s="151">
        <f t="shared" si="26"/>
        <v>0</v>
      </c>
      <c r="X102" s="142">
        <v>0</v>
      </c>
      <c r="Y102" s="151">
        <f t="shared" si="27"/>
        <v>0</v>
      </c>
      <c r="Z102" s="146"/>
      <c r="AA102" s="155">
        <f t="shared" si="28"/>
        <v>1</v>
      </c>
      <c r="AB102" s="155">
        <f t="shared" si="19"/>
        <v>0</v>
      </c>
      <c r="AC102" s="149">
        <f t="shared" si="29"/>
        <v>0.25</v>
      </c>
      <c r="AD102" s="156">
        <f t="shared" si="31"/>
        <v>300</v>
      </c>
      <c r="AJ102" s="206">
        <f t="shared" si="22"/>
        <v>0</v>
      </c>
      <c r="AL102" s="149">
        <f t="shared" si="30"/>
        <v>0</v>
      </c>
    </row>
    <row r="103" spans="1:38" ht="15">
      <c r="A103" s="140">
        <v>10949</v>
      </c>
      <c r="B103" s="140">
        <v>95</v>
      </c>
      <c r="C103" s="146" t="s">
        <v>748</v>
      </c>
      <c r="D103" s="147" t="s">
        <v>1221</v>
      </c>
      <c r="E103" s="191" t="s">
        <v>56</v>
      </c>
      <c r="F103" s="153">
        <v>1</v>
      </c>
      <c r="G103" s="154" t="s">
        <v>1248</v>
      </c>
      <c r="H103" s="140">
        <v>1</v>
      </c>
      <c r="I103" s="140" t="s">
        <v>377</v>
      </c>
      <c r="J103" s="140">
        <v>3040</v>
      </c>
      <c r="K103" s="142">
        <v>2520</v>
      </c>
      <c r="L103" s="142">
        <v>2160</v>
      </c>
      <c r="M103" s="143">
        <v>6000</v>
      </c>
      <c r="N103" s="144">
        <v>0</v>
      </c>
      <c r="O103" s="143">
        <f t="shared" si="21"/>
        <v>6000</v>
      </c>
      <c r="P103" s="140">
        <v>5.3</v>
      </c>
      <c r="Q103" s="159">
        <f t="shared" si="23"/>
        <v>31800</v>
      </c>
      <c r="R103" s="140">
        <v>1500</v>
      </c>
      <c r="S103" s="151">
        <f t="shared" si="24"/>
        <v>7950</v>
      </c>
      <c r="T103" s="142">
        <v>1500</v>
      </c>
      <c r="U103" s="151">
        <f t="shared" si="25"/>
        <v>7950</v>
      </c>
      <c r="V103" s="140">
        <v>1500</v>
      </c>
      <c r="W103" s="151">
        <f t="shared" si="26"/>
        <v>7950</v>
      </c>
      <c r="X103" s="142">
        <v>1500</v>
      </c>
      <c r="Y103" s="151">
        <f t="shared" si="27"/>
        <v>7950</v>
      </c>
      <c r="Z103" s="146"/>
      <c r="AA103" s="155">
        <f t="shared" si="28"/>
        <v>6000</v>
      </c>
      <c r="AB103" s="155">
        <f t="shared" si="19"/>
        <v>0</v>
      </c>
      <c r="AC103" s="149">
        <f t="shared" si="29"/>
        <v>1500</v>
      </c>
      <c r="AD103" s="156">
        <f t="shared" si="31"/>
        <v>7950</v>
      </c>
      <c r="AG103" s="149">
        <v>1800</v>
      </c>
      <c r="AH103" s="149">
        <v>9540</v>
      </c>
      <c r="AI103" s="150" t="s">
        <v>1302</v>
      </c>
      <c r="AJ103" s="206">
        <f t="shared" si="22"/>
        <v>2160</v>
      </c>
      <c r="AL103" s="149">
        <f t="shared" si="30"/>
        <v>0</v>
      </c>
    </row>
    <row r="104" spans="1:38" ht="15">
      <c r="A104" s="140">
        <v>10949</v>
      </c>
      <c r="B104" s="140">
        <v>96</v>
      </c>
      <c r="C104" s="146"/>
      <c r="D104" s="147"/>
      <c r="E104" s="152" t="s">
        <v>57</v>
      </c>
      <c r="F104" s="153">
        <v>2</v>
      </c>
      <c r="G104" s="146" t="s">
        <v>1248</v>
      </c>
      <c r="H104" s="140">
        <v>1</v>
      </c>
      <c r="I104" s="140" t="s">
        <v>380</v>
      </c>
      <c r="J104" s="140">
        <v>40</v>
      </c>
      <c r="K104" s="142">
        <v>0</v>
      </c>
      <c r="L104" s="142">
        <v>0</v>
      </c>
      <c r="M104" s="143">
        <v>14</v>
      </c>
      <c r="N104" s="144">
        <v>0</v>
      </c>
      <c r="O104" s="143">
        <f t="shared" si="21"/>
        <v>14</v>
      </c>
      <c r="P104" s="140">
        <v>425</v>
      </c>
      <c r="Q104" s="159">
        <f t="shared" si="23"/>
        <v>5950</v>
      </c>
      <c r="R104" s="140">
        <v>10</v>
      </c>
      <c r="S104" s="151">
        <f t="shared" si="24"/>
        <v>4250</v>
      </c>
      <c r="T104" s="142">
        <v>0</v>
      </c>
      <c r="U104" s="151">
        <f t="shared" si="25"/>
        <v>0</v>
      </c>
      <c r="V104" s="140">
        <v>4</v>
      </c>
      <c r="W104" s="151">
        <f t="shared" si="26"/>
        <v>1700</v>
      </c>
      <c r="X104" s="142">
        <v>0</v>
      </c>
      <c r="Y104" s="151">
        <f t="shared" si="27"/>
        <v>0</v>
      </c>
      <c r="Z104" s="146"/>
      <c r="AA104" s="155">
        <f t="shared" si="28"/>
        <v>14</v>
      </c>
      <c r="AB104" s="155">
        <f t="shared" si="19"/>
        <v>0</v>
      </c>
      <c r="AC104" s="149">
        <f t="shared" si="29"/>
        <v>3.5</v>
      </c>
      <c r="AD104" s="156">
        <f t="shared" si="31"/>
        <v>1487.5</v>
      </c>
      <c r="AJ104" s="206">
        <f t="shared" si="22"/>
        <v>0</v>
      </c>
      <c r="AL104" s="149">
        <f t="shared" si="30"/>
        <v>0</v>
      </c>
    </row>
    <row r="105" spans="1:38" ht="15">
      <c r="A105" s="140">
        <v>10949</v>
      </c>
      <c r="B105" s="140">
        <v>97</v>
      </c>
      <c r="C105" s="146" t="s">
        <v>750</v>
      </c>
      <c r="D105" s="147" t="s">
        <v>749</v>
      </c>
      <c r="E105" s="191" t="s">
        <v>58</v>
      </c>
      <c r="F105" s="153">
        <v>1</v>
      </c>
      <c r="G105" s="154" t="s">
        <v>1245</v>
      </c>
      <c r="H105" s="140">
        <v>1000</v>
      </c>
      <c r="I105" s="140" t="s">
        <v>376</v>
      </c>
      <c r="J105" s="140">
        <v>38</v>
      </c>
      <c r="K105" s="142">
        <v>38</v>
      </c>
      <c r="L105" s="142">
        <v>19.200000000000003</v>
      </c>
      <c r="M105" s="143">
        <v>33</v>
      </c>
      <c r="N105" s="144">
        <v>5</v>
      </c>
      <c r="O105" s="143">
        <f t="shared" si="21"/>
        <v>28</v>
      </c>
      <c r="P105" s="140">
        <v>400</v>
      </c>
      <c r="Q105" s="159">
        <f t="shared" si="23"/>
        <v>11200</v>
      </c>
      <c r="R105" s="140">
        <v>7</v>
      </c>
      <c r="S105" s="151">
        <f t="shared" si="24"/>
        <v>2800</v>
      </c>
      <c r="T105" s="142">
        <v>7</v>
      </c>
      <c r="U105" s="151">
        <f t="shared" si="25"/>
        <v>2800</v>
      </c>
      <c r="V105" s="140">
        <v>7</v>
      </c>
      <c r="W105" s="151">
        <f t="shared" si="26"/>
        <v>2800</v>
      </c>
      <c r="X105" s="142">
        <v>7</v>
      </c>
      <c r="Y105" s="151">
        <f t="shared" si="27"/>
        <v>2800</v>
      </c>
      <c r="Z105" s="146"/>
      <c r="AA105" s="155">
        <f t="shared" si="28"/>
        <v>28</v>
      </c>
      <c r="AB105" s="155">
        <f t="shared" si="19"/>
        <v>0</v>
      </c>
      <c r="AC105" s="149">
        <f t="shared" si="29"/>
        <v>7</v>
      </c>
      <c r="AD105" s="156">
        <f t="shared" si="31"/>
        <v>2800</v>
      </c>
      <c r="AG105" s="149">
        <v>16</v>
      </c>
      <c r="AH105" s="149">
        <v>4006.0800000000013</v>
      </c>
      <c r="AI105" s="150" t="s">
        <v>1356</v>
      </c>
      <c r="AJ105" s="206">
        <f t="shared" si="22"/>
        <v>19.200000000000003</v>
      </c>
      <c r="AL105" s="149">
        <f t="shared" si="30"/>
        <v>0</v>
      </c>
    </row>
    <row r="106" spans="1:38" ht="15">
      <c r="A106" s="140">
        <v>10949</v>
      </c>
      <c r="B106" s="140">
        <v>98</v>
      </c>
      <c r="C106" s="146" t="s">
        <v>752</v>
      </c>
      <c r="D106" s="147" t="s">
        <v>751</v>
      </c>
      <c r="E106" s="191" t="s">
        <v>59</v>
      </c>
      <c r="F106" s="153">
        <v>1</v>
      </c>
      <c r="G106" s="154" t="s">
        <v>1245</v>
      </c>
      <c r="H106" s="140">
        <v>500</v>
      </c>
      <c r="I106" s="140" t="s">
        <v>376</v>
      </c>
      <c r="J106" s="140">
        <v>38</v>
      </c>
      <c r="K106" s="142">
        <v>55</v>
      </c>
      <c r="L106" s="142">
        <v>20.4</v>
      </c>
      <c r="M106" s="143">
        <v>40</v>
      </c>
      <c r="N106" s="144">
        <v>0</v>
      </c>
      <c r="O106" s="143">
        <f t="shared" si="21"/>
        <v>40</v>
      </c>
      <c r="P106" s="140">
        <v>50.34</v>
      </c>
      <c r="Q106" s="159">
        <f t="shared" si="23"/>
        <v>2013.6000000000001</v>
      </c>
      <c r="R106" s="140">
        <v>10</v>
      </c>
      <c r="S106" s="151">
        <f t="shared" si="24"/>
        <v>503.40000000000003</v>
      </c>
      <c r="T106" s="142">
        <v>10</v>
      </c>
      <c r="U106" s="151">
        <f t="shared" si="25"/>
        <v>503.40000000000003</v>
      </c>
      <c r="V106" s="140">
        <v>10</v>
      </c>
      <c r="W106" s="151">
        <f t="shared" si="26"/>
        <v>503.40000000000003</v>
      </c>
      <c r="X106" s="142">
        <v>10</v>
      </c>
      <c r="Y106" s="151">
        <f t="shared" si="27"/>
        <v>503.40000000000003</v>
      </c>
      <c r="Z106" s="146"/>
      <c r="AA106" s="155">
        <f t="shared" si="28"/>
        <v>40</v>
      </c>
      <c r="AB106" s="155">
        <f t="shared" si="19"/>
        <v>0</v>
      </c>
      <c r="AC106" s="149">
        <f t="shared" si="29"/>
        <v>10</v>
      </c>
      <c r="AD106" s="156">
        <f t="shared" si="31"/>
        <v>503.40000000000003</v>
      </c>
      <c r="AG106" s="149">
        <v>17</v>
      </c>
      <c r="AH106" s="149">
        <v>855.78</v>
      </c>
      <c r="AI106" s="150" t="s">
        <v>1352</v>
      </c>
      <c r="AJ106" s="206">
        <f t="shared" si="22"/>
        <v>20.4</v>
      </c>
      <c r="AL106" s="149">
        <f t="shared" si="30"/>
        <v>0</v>
      </c>
    </row>
    <row r="107" spans="1:38" ht="15">
      <c r="A107" s="140">
        <v>10949</v>
      </c>
      <c r="B107" s="140">
        <v>99</v>
      </c>
      <c r="C107" s="146" t="s">
        <v>754</v>
      </c>
      <c r="D107" s="147" t="s">
        <v>753</v>
      </c>
      <c r="E107" s="191" t="s">
        <v>60</v>
      </c>
      <c r="F107" s="153">
        <v>1</v>
      </c>
      <c r="G107" s="154" t="s">
        <v>1245</v>
      </c>
      <c r="H107" s="140">
        <v>1000</v>
      </c>
      <c r="I107" s="140" t="s">
        <v>376</v>
      </c>
      <c r="J107" s="140">
        <v>20</v>
      </c>
      <c r="K107" s="142">
        <v>25</v>
      </c>
      <c r="L107" s="142">
        <v>22.799999999999997</v>
      </c>
      <c r="M107" s="143">
        <v>24</v>
      </c>
      <c r="N107" s="144">
        <v>4</v>
      </c>
      <c r="O107" s="143">
        <f t="shared" si="21"/>
        <v>20</v>
      </c>
      <c r="P107" s="140">
        <v>120</v>
      </c>
      <c r="Q107" s="159">
        <f t="shared" si="23"/>
        <v>2400</v>
      </c>
      <c r="R107" s="140">
        <v>5</v>
      </c>
      <c r="S107" s="151">
        <f t="shared" si="24"/>
        <v>600</v>
      </c>
      <c r="T107" s="142">
        <v>5</v>
      </c>
      <c r="U107" s="151">
        <f t="shared" si="25"/>
        <v>600</v>
      </c>
      <c r="V107" s="140">
        <v>5</v>
      </c>
      <c r="W107" s="151">
        <f t="shared" si="26"/>
        <v>600</v>
      </c>
      <c r="X107" s="142">
        <v>5</v>
      </c>
      <c r="Y107" s="151">
        <f t="shared" si="27"/>
        <v>600</v>
      </c>
      <c r="Z107" s="146"/>
      <c r="AA107" s="155">
        <f t="shared" si="28"/>
        <v>20</v>
      </c>
      <c r="AB107" s="155">
        <f t="shared" si="19"/>
        <v>0</v>
      </c>
      <c r="AC107" s="149">
        <f t="shared" si="29"/>
        <v>5</v>
      </c>
      <c r="AD107" s="156">
        <f t="shared" si="31"/>
        <v>600</v>
      </c>
      <c r="AG107" s="149">
        <v>19</v>
      </c>
      <c r="AH107" s="149">
        <v>2280</v>
      </c>
      <c r="AI107" s="150" t="s">
        <v>1352</v>
      </c>
      <c r="AJ107" s="206">
        <f t="shared" si="22"/>
        <v>22.799999999999997</v>
      </c>
      <c r="AL107" s="149">
        <f t="shared" si="30"/>
        <v>0</v>
      </c>
    </row>
    <row r="108" spans="1:38" ht="15">
      <c r="A108" s="140">
        <v>10949</v>
      </c>
      <c r="B108" s="140">
        <v>100</v>
      </c>
      <c r="C108" s="146" t="s">
        <v>756</v>
      </c>
      <c r="D108" s="147" t="s">
        <v>755</v>
      </c>
      <c r="E108" s="191" t="s">
        <v>61</v>
      </c>
      <c r="F108" s="153">
        <v>1</v>
      </c>
      <c r="G108" s="154" t="s">
        <v>1248</v>
      </c>
      <c r="H108" s="140">
        <v>1</v>
      </c>
      <c r="I108" s="140" t="s">
        <v>377</v>
      </c>
      <c r="J108" s="140">
        <v>370</v>
      </c>
      <c r="K108" s="142">
        <v>550</v>
      </c>
      <c r="L108" s="142">
        <v>780</v>
      </c>
      <c r="M108" s="143">
        <v>800</v>
      </c>
      <c r="N108" s="144">
        <v>50</v>
      </c>
      <c r="O108" s="143">
        <f t="shared" si="21"/>
        <v>750</v>
      </c>
      <c r="P108" s="140">
        <v>3.4</v>
      </c>
      <c r="Q108" s="159">
        <f t="shared" si="23"/>
        <v>2550</v>
      </c>
      <c r="R108" s="140">
        <v>200</v>
      </c>
      <c r="S108" s="151">
        <f t="shared" si="24"/>
        <v>680</v>
      </c>
      <c r="T108" s="142">
        <v>150</v>
      </c>
      <c r="U108" s="151">
        <f t="shared" si="25"/>
        <v>510</v>
      </c>
      <c r="V108" s="140">
        <v>200</v>
      </c>
      <c r="W108" s="151">
        <f t="shared" si="26"/>
        <v>680</v>
      </c>
      <c r="X108" s="142">
        <v>200</v>
      </c>
      <c r="Y108" s="151">
        <f t="shared" si="27"/>
        <v>680</v>
      </c>
      <c r="Z108" s="146"/>
      <c r="AA108" s="155">
        <f t="shared" si="28"/>
        <v>750</v>
      </c>
      <c r="AB108" s="155">
        <f t="shared" si="19"/>
        <v>0</v>
      </c>
      <c r="AC108" s="149">
        <f t="shared" si="29"/>
        <v>187.5</v>
      </c>
      <c r="AD108" s="156">
        <f t="shared" si="31"/>
        <v>637.5</v>
      </c>
      <c r="AG108" s="149">
        <v>650</v>
      </c>
      <c r="AH108" s="149">
        <v>2623.5999999999995</v>
      </c>
      <c r="AI108" s="150" t="s">
        <v>1300</v>
      </c>
      <c r="AJ108" s="206">
        <f t="shared" si="22"/>
        <v>780</v>
      </c>
      <c r="AL108" s="149">
        <f t="shared" si="30"/>
        <v>0</v>
      </c>
    </row>
    <row r="109" spans="1:38" ht="15">
      <c r="A109" s="140">
        <v>10949</v>
      </c>
      <c r="B109" s="140">
        <v>101</v>
      </c>
      <c r="C109" s="146" t="s">
        <v>758</v>
      </c>
      <c r="D109" s="147" t="s">
        <v>757</v>
      </c>
      <c r="E109" s="191" t="s">
        <v>62</v>
      </c>
      <c r="F109" s="153">
        <v>1</v>
      </c>
      <c r="G109" s="154" t="s">
        <v>1245</v>
      </c>
      <c r="H109" s="140">
        <v>1000</v>
      </c>
      <c r="I109" s="140" t="s">
        <v>376</v>
      </c>
      <c r="J109" s="140">
        <v>103</v>
      </c>
      <c r="K109" s="142">
        <v>67</v>
      </c>
      <c r="L109" s="142">
        <v>61.199999999999996</v>
      </c>
      <c r="M109" s="143">
        <v>81</v>
      </c>
      <c r="N109" s="144">
        <v>11</v>
      </c>
      <c r="O109" s="143">
        <f t="shared" si="21"/>
        <v>70</v>
      </c>
      <c r="P109" s="140">
        <v>120.91</v>
      </c>
      <c r="Q109" s="159">
        <f t="shared" si="23"/>
        <v>8463.699999999999</v>
      </c>
      <c r="R109" s="140">
        <v>15</v>
      </c>
      <c r="S109" s="151">
        <f t="shared" si="24"/>
        <v>1813.6499999999999</v>
      </c>
      <c r="T109" s="142">
        <v>20</v>
      </c>
      <c r="U109" s="151">
        <f t="shared" si="25"/>
        <v>2418.2</v>
      </c>
      <c r="V109" s="140">
        <v>15</v>
      </c>
      <c r="W109" s="151">
        <f t="shared" si="26"/>
        <v>1813.6499999999999</v>
      </c>
      <c r="X109" s="142">
        <v>20</v>
      </c>
      <c r="Y109" s="151">
        <f t="shared" si="27"/>
        <v>2418.2</v>
      </c>
      <c r="Z109" s="146"/>
      <c r="AA109" s="155">
        <f t="shared" si="28"/>
        <v>70</v>
      </c>
      <c r="AB109" s="155">
        <f t="shared" si="19"/>
        <v>0</v>
      </c>
      <c r="AC109" s="149">
        <f t="shared" si="29"/>
        <v>17.5</v>
      </c>
      <c r="AD109" s="156">
        <f t="shared" si="31"/>
        <v>2115.9249999999997</v>
      </c>
      <c r="AG109" s="149">
        <v>51</v>
      </c>
      <c r="AH109" s="149">
        <v>5574</v>
      </c>
      <c r="AI109" s="150" t="s">
        <v>1356</v>
      </c>
      <c r="AJ109" s="206">
        <f t="shared" si="22"/>
        <v>61.199999999999996</v>
      </c>
      <c r="AL109" s="149">
        <f t="shared" si="30"/>
        <v>0</v>
      </c>
    </row>
    <row r="110" spans="1:38" ht="15">
      <c r="A110" s="140">
        <v>10949</v>
      </c>
      <c r="B110" s="140">
        <v>102</v>
      </c>
      <c r="C110" s="146" t="s">
        <v>760</v>
      </c>
      <c r="D110" s="147" t="s">
        <v>759</v>
      </c>
      <c r="E110" s="191" t="s">
        <v>63</v>
      </c>
      <c r="F110" s="153">
        <v>1</v>
      </c>
      <c r="G110" s="154" t="s">
        <v>1248</v>
      </c>
      <c r="H110" s="140">
        <v>1</v>
      </c>
      <c r="I110" s="140" t="s">
        <v>377</v>
      </c>
      <c r="J110" s="140">
        <v>2050</v>
      </c>
      <c r="K110" s="142">
        <v>470</v>
      </c>
      <c r="L110" s="142">
        <v>117.60000000000001</v>
      </c>
      <c r="M110" s="143">
        <v>0</v>
      </c>
      <c r="N110" s="144">
        <v>0</v>
      </c>
      <c r="O110" s="143">
        <f t="shared" si="21"/>
        <v>0</v>
      </c>
      <c r="P110" s="140">
        <v>3.5</v>
      </c>
      <c r="Q110" s="159">
        <f t="shared" si="23"/>
        <v>0</v>
      </c>
      <c r="R110" s="140">
        <v>0</v>
      </c>
      <c r="S110" s="151">
        <f t="shared" si="24"/>
        <v>0</v>
      </c>
      <c r="T110" s="142">
        <v>0</v>
      </c>
      <c r="U110" s="151">
        <f t="shared" si="25"/>
        <v>0</v>
      </c>
      <c r="V110" s="140">
        <v>0</v>
      </c>
      <c r="W110" s="151">
        <f t="shared" si="26"/>
        <v>0</v>
      </c>
      <c r="X110" s="142">
        <v>0</v>
      </c>
      <c r="Y110" s="151">
        <f t="shared" si="27"/>
        <v>0</v>
      </c>
      <c r="Z110" s="146"/>
      <c r="AA110" s="155">
        <f t="shared" si="28"/>
        <v>0</v>
      </c>
      <c r="AB110" s="155">
        <f t="shared" si="19"/>
        <v>0</v>
      </c>
      <c r="AC110" s="149">
        <f t="shared" si="29"/>
        <v>0</v>
      </c>
      <c r="AD110" s="156">
        <f t="shared" si="31"/>
        <v>0</v>
      </c>
      <c r="AG110" s="149">
        <v>98</v>
      </c>
      <c r="AH110" s="149">
        <v>51940</v>
      </c>
      <c r="AI110" s="150" t="s">
        <v>1352</v>
      </c>
      <c r="AJ110" s="206">
        <f t="shared" si="22"/>
        <v>117.60000000000001</v>
      </c>
      <c r="AL110" s="149">
        <f t="shared" si="30"/>
        <v>0</v>
      </c>
    </row>
    <row r="111" spans="1:38" ht="15">
      <c r="A111" s="140">
        <v>10949</v>
      </c>
      <c r="B111" s="140">
        <v>103</v>
      </c>
      <c r="C111" s="146" t="s">
        <v>762</v>
      </c>
      <c r="D111" s="147" t="s">
        <v>761</v>
      </c>
      <c r="E111" s="191" t="s">
        <v>64</v>
      </c>
      <c r="F111" s="153">
        <v>1</v>
      </c>
      <c r="G111" s="154" t="s">
        <v>1252</v>
      </c>
      <c r="H111" s="140">
        <v>500</v>
      </c>
      <c r="I111" s="140" t="s">
        <v>1253</v>
      </c>
      <c r="J111" s="140">
        <v>179</v>
      </c>
      <c r="K111" s="142">
        <v>150</v>
      </c>
      <c r="L111" s="142">
        <v>118</v>
      </c>
      <c r="M111" s="143">
        <v>156</v>
      </c>
      <c r="N111" s="144">
        <v>36</v>
      </c>
      <c r="O111" s="143">
        <v>120</v>
      </c>
      <c r="P111" s="140">
        <v>530</v>
      </c>
      <c r="Q111" s="159">
        <f t="shared" si="23"/>
        <v>63600</v>
      </c>
      <c r="R111" s="140">
        <v>30</v>
      </c>
      <c r="S111" s="151">
        <f t="shared" si="24"/>
        <v>15900</v>
      </c>
      <c r="T111" s="142">
        <v>30</v>
      </c>
      <c r="U111" s="151">
        <f t="shared" si="25"/>
        <v>15900</v>
      </c>
      <c r="V111" s="140">
        <v>30</v>
      </c>
      <c r="W111" s="151">
        <f t="shared" si="26"/>
        <v>15900</v>
      </c>
      <c r="X111" s="142">
        <v>30</v>
      </c>
      <c r="Y111" s="151">
        <f t="shared" si="27"/>
        <v>15900</v>
      </c>
      <c r="Z111" s="146"/>
      <c r="AA111" s="155">
        <f t="shared" si="28"/>
        <v>120</v>
      </c>
      <c r="AB111" s="155">
        <f t="shared" si="19"/>
        <v>0</v>
      </c>
      <c r="AC111" s="149">
        <f t="shared" si="29"/>
        <v>30</v>
      </c>
      <c r="AD111" s="156">
        <f t="shared" si="31"/>
        <v>15900</v>
      </c>
      <c r="AG111" s="149">
        <v>98</v>
      </c>
      <c r="AH111" s="149">
        <v>51940</v>
      </c>
      <c r="AI111" s="150" t="s">
        <v>1355</v>
      </c>
      <c r="AJ111" s="206">
        <f t="shared" si="22"/>
        <v>117.60000000000001</v>
      </c>
      <c r="AL111" s="149">
        <f t="shared" si="30"/>
        <v>0</v>
      </c>
    </row>
    <row r="112" spans="1:38" ht="15">
      <c r="A112" s="140">
        <v>10949</v>
      </c>
      <c r="B112" s="140">
        <v>104</v>
      </c>
      <c r="C112" s="146" t="s">
        <v>764</v>
      </c>
      <c r="D112" s="147" t="s">
        <v>763</v>
      </c>
      <c r="E112" s="191" t="s">
        <v>65</v>
      </c>
      <c r="F112" s="153">
        <v>1</v>
      </c>
      <c r="G112" s="154" t="s">
        <v>1255</v>
      </c>
      <c r="H112" s="140">
        <v>60</v>
      </c>
      <c r="I112" s="140" t="s">
        <v>1250</v>
      </c>
      <c r="J112" s="140">
        <v>1770</v>
      </c>
      <c r="K112" s="142">
        <v>1565</v>
      </c>
      <c r="L112" s="142">
        <v>828</v>
      </c>
      <c r="M112" s="143">
        <v>1450</v>
      </c>
      <c r="N112" s="144">
        <v>450</v>
      </c>
      <c r="O112" s="143">
        <f t="shared" si="21"/>
        <v>1000</v>
      </c>
      <c r="P112" s="140">
        <v>20</v>
      </c>
      <c r="Q112" s="159">
        <f t="shared" si="23"/>
        <v>20000</v>
      </c>
      <c r="R112" s="140">
        <v>250</v>
      </c>
      <c r="S112" s="151">
        <f t="shared" si="24"/>
        <v>5000</v>
      </c>
      <c r="T112" s="142">
        <v>250</v>
      </c>
      <c r="U112" s="151">
        <f t="shared" si="25"/>
        <v>5000</v>
      </c>
      <c r="V112" s="140">
        <v>250</v>
      </c>
      <c r="W112" s="151">
        <f t="shared" si="26"/>
        <v>5000</v>
      </c>
      <c r="X112" s="142">
        <v>250</v>
      </c>
      <c r="Y112" s="151">
        <f t="shared" si="27"/>
        <v>5000</v>
      </c>
      <c r="Z112" s="146"/>
      <c r="AA112" s="155">
        <f t="shared" si="28"/>
        <v>1000</v>
      </c>
      <c r="AB112" s="155">
        <f t="shared" si="19"/>
        <v>0</v>
      </c>
      <c r="AC112" s="149">
        <f t="shared" si="29"/>
        <v>250</v>
      </c>
      <c r="AD112" s="156">
        <f t="shared" si="31"/>
        <v>5000</v>
      </c>
      <c r="AG112" s="149">
        <v>690</v>
      </c>
      <c r="AH112" s="149">
        <v>12640.8</v>
      </c>
      <c r="AI112" s="150" t="s">
        <v>1355</v>
      </c>
      <c r="AJ112" s="206">
        <f t="shared" si="22"/>
        <v>828</v>
      </c>
      <c r="AL112" s="149">
        <f t="shared" si="30"/>
        <v>0</v>
      </c>
    </row>
    <row r="113" spans="1:38" ht="15">
      <c r="A113" s="140">
        <v>10949</v>
      </c>
      <c r="B113" s="140">
        <v>105</v>
      </c>
      <c r="C113" s="146" t="s">
        <v>766</v>
      </c>
      <c r="D113" s="147" t="s">
        <v>765</v>
      </c>
      <c r="E113" s="191" t="s">
        <v>66</v>
      </c>
      <c r="F113" s="153">
        <v>1</v>
      </c>
      <c r="G113" s="154" t="s">
        <v>1245</v>
      </c>
      <c r="H113" s="140">
        <v>1000</v>
      </c>
      <c r="I113" s="140" t="s">
        <v>376</v>
      </c>
      <c r="J113" s="140">
        <v>4</v>
      </c>
      <c r="K113" s="142">
        <v>6</v>
      </c>
      <c r="L113" s="142">
        <v>4.800000000000001</v>
      </c>
      <c r="M113" s="143">
        <v>5</v>
      </c>
      <c r="N113" s="144">
        <v>5</v>
      </c>
      <c r="O113" s="143">
        <f t="shared" si="21"/>
        <v>0</v>
      </c>
      <c r="P113" s="140">
        <v>320</v>
      </c>
      <c r="Q113" s="159">
        <f t="shared" si="23"/>
        <v>0</v>
      </c>
      <c r="R113" s="140">
        <v>0</v>
      </c>
      <c r="S113" s="151">
        <f t="shared" si="24"/>
        <v>0</v>
      </c>
      <c r="T113" s="142">
        <v>0</v>
      </c>
      <c r="U113" s="151">
        <f t="shared" si="25"/>
        <v>0</v>
      </c>
      <c r="V113" s="140">
        <v>0</v>
      </c>
      <c r="W113" s="151">
        <f t="shared" si="26"/>
        <v>0</v>
      </c>
      <c r="X113" s="142">
        <v>0</v>
      </c>
      <c r="Y113" s="151">
        <f t="shared" si="27"/>
        <v>0</v>
      </c>
      <c r="Z113" s="146"/>
      <c r="AA113" s="155">
        <f t="shared" si="28"/>
        <v>0</v>
      </c>
      <c r="AB113" s="155">
        <f t="shared" si="19"/>
        <v>0</v>
      </c>
      <c r="AC113" s="149">
        <f t="shared" si="29"/>
        <v>0</v>
      </c>
      <c r="AD113" s="156">
        <f t="shared" si="31"/>
        <v>0</v>
      </c>
      <c r="AG113" s="149">
        <v>4</v>
      </c>
      <c r="AH113" s="149">
        <v>1280</v>
      </c>
      <c r="AI113" s="150" t="s">
        <v>1352</v>
      </c>
      <c r="AJ113" s="206">
        <f t="shared" si="22"/>
        <v>4.800000000000001</v>
      </c>
      <c r="AL113" s="149">
        <f t="shared" si="30"/>
        <v>0</v>
      </c>
    </row>
    <row r="114" spans="1:38" ht="15">
      <c r="A114" s="140">
        <v>10949</v>
      </c>
      <c r="B114" s="140">
        <v>106</v>
      </c>
      <c r="C114" s="146" t="s">
        <v>768</v>
      </c>
      <c r="D114" s="147" t="s">
        <v>767</v>
      </c>
      <c r="E114" s="191" t="s">
        <v>67</v>
      </c>
      <c r="F114" s="153">
        <v>1</v>
      </c>
      <c r="G114" s="154" t="s">
        <v>1248</v>
      </c>
      <c r="H114" s="137">
        <v>1</v>
      </c>
      <c r="I114" s="140" t="s">
        <v>377</v>
      </c>
      <c r="J114" s="140">
        <v>0</v>
      </c>
      <c r="K114" s="142">
        <v>0</v>
      </c>
      <c r="L114" s="142">
        <v>12</v>
      </c>
      <c r="M114" s="143">
        <v>10</v>
      </c>
      <c r="N114" s="144">
        <v>0</v>
      </c>
      <c r="O114" s="143">
        <f t="shared" si="21"/>
        <v>10</v>
      </c>
      <c r="P114" s="140">
        <v>35.096</v>
      </c>
      <c r="Q114" s="159">
        <f t="shared" si="23"/>
        <v>350.96</v>
      </c>
      <c r="R114" s="140">
        <v>10</v>
      </c>
      <c r="S114" s="151">
        <f t="shared" si="24"/>
        <v>350.96</v>
      </c>
      <c r="T114" s="142">
        <v>0</v>
      </c>
      <c r="U114" s="151">
        <f t="shared" si="25"/>
        <v>0</v>
      </c>
      <c r="V114" s="140">
        <v>0</v>
      </c>
      <c r="W114" s="151">
        <f t="shared" si="26"/>
        <v>0</v>
      </c>
      <c r="X114" s="142">
        <v>0</v>
      </c>
      <c r="Y114" s="151">
        <f t="shared" si="27"/>
        <v>0</v>
      </c>
      <c r="Z114" s="146"/>
      <c r="AA114" s="155">
        <f t="shared" si="28"/>
        <v>10</v>
      </c>
      <c r="AB114" s="155">
        <f t="shared" si="19"/>
        <v>0</v>
      </c>
      <c r="AC114" s="149">
        <f t="shared" si="29"/>
        <v>2.5</v>
      </c>
      <c r="AD114" s="156">
        <f t="shared" si="31"/>
        <v>87.74</v>
      </c>
      <c r="AG114" s="149">
        <v>10</v>
      </c>
      <c r="AH114" s="149">
        <v>331.7</v>
      </c>
      <c r="AI114" s="150" t="s">
        <v>1300</v>
      </c>
      <c r="AJ114" s="206">
        <f t="shared" si="22"/>
        <v>12</v>
      </c>
      <c r="AL114" s="149">
        <f t="shared" si="30"/>
        <v>0</v>
      </c>
    </row>
    <row r="115" spans="1:38" ht="15">
      <c r="A115" s="140">
        <v>10949</v>
      </c>
      <c r="B115" s="140">
        <v>107</v>
      </c>
      <c r="C115" s="146" t="s">
        <v>772</v>
      </c>
      <c r="D115" s="147" t="s">
        <v>771</v>
      </c>
      <c r="E115" s="191" t="s">
        <v>68</v>
      </c>
      <c r="F115" s="153">
        <v>1</v>
      </c>
      <c r="G115" s="154" t="s">
        <v>1245</v>
      </c>
      <c r="H115" s="140">
        <v>1000</v>
      </c>
      <c r="I115" s="140" t="s">
        <v>376</v>
      </c>
      <c r="J115" s="140">
        <v>75</v>
      </c>
      <c r="K115" s="142">
        <v>64</v>
      </c>
      <c r="L115" s="142">
        <v>62.400000000000006</v>
      </c>
      <c r="M115" s="143">
        <v>70</v>
      </c>
      <c r="N115" s="144">
        <v>10</v>
      </c>
      <c r="O115" s="143">
        <f t="shared" si="21"/>
        <v>60</v>
      </c>
      <c r="P115" s="140">
        <v>170</v>
      </c>
      <c r="Q115" s="159">
        <f t="shared" si="23"/>
        <v>10200</v>
      </c>
      <c r="R115" s="140">
        <v>15</v>
      </c>
      <c r="S115" s="151">
        <f t="shared" si="24"/>
        <v>2550</v>
      </c>
      <c r="T115" s="142">
        <v>15</v>
      </c>
      <c r="U115" s="151">
        <f t="shared" si="25"/>
        <v>2550</v>
      </c>
      <c r="V115" s="140">
        <v>15</v>
      </c>
      <c r="W115" s="151">
        <f t="shared" si="26"/>
        <v>2550</v>
      </c>
      <c r="X115" s="142">
        <v>15</v>
      </c>
      <c r="Y115" s="151">
        <f t="shared" si="27"/>
        <v>2550</v>
      </c>
      <c r="Z115" s="146"/>
      <c r="AA115" s="155">
        <f t="shared" si="28"/>
        <v>60</v>
      </c>
      <c r="AB115" s="155">
        <f t="shared" si="19"/>
        <v>0</v>
      </c>
      <c r="AC115" s="149">
        <f t="shared" si="29"/>
        <v>15</v>
      </c>
      <c r="AD115" s="156">
        <f t="shared" si="31"/>
        <v>2550</v>
      </c>
      <c r="AG115" s="149">
        <v>52</v>
      </c>
      <c r="AH115" s="149">
        <v>8534</v>
      </c>
      <c r="AI115" s="150" t="s">
        <v>1352</v>
      </c>
      <c r="AJ115" s="206">
        <f t="shared" si="22"/>
        <v>62.400000000000006</v>
      </c>
      <c r="AL115" s="149">
        <f t="shared" si="30"/>
        <v>0</v>
      </c>
    </row>
    <row r="116" spans="1:38" ht="15">
      <c r="A116" s="140">
        <v>10949</v>
      </c>
      <c r="B116" s="140">
        <v>108</v>
      </c>
      <c r="C116" s="146" t="s">
        <v>770</v>
      </c>
      <c r="D116" s="147" t="s">
        <v>769</v>
      </c>
      <c r="E116" s="191" t="s">
        <v>69</v>
      </c>
      <c r="F116" s="153">
        <v>1</v>
      </c>
      <c r="G116" s="154" t="s">
        <v>1248</v>
      </c>
      <c r="H116" s="140">
        <v>1</v>
      </c>
      <c r="I116" s="140" t="s">
        <v>377</v>
      </c>
      <c r="J116" s="140">
        <v>1380</v>
      </c>
      <c r="K116" s="142">
        <v>1400</v>
      </c>
      <c r="L116" s="142">
        <v>1129.1999999999998</v>
      </c>
      <c r="M116" s="143">
        <v>1400</v>
      </c>
      <c r="N116" s="144">
        <v>200</v>
      </c>
      <c r="O116" s="143">
        <f t="shared" si="21"/>
        <v>1200</v>
      </c>
      <c r="P116" s="140">
        <v>3</v>
      </c>
      <c r="Q116" s="159">
        <f t="shared" si="23"/>
        <v>3600</v>
      </c>
      <c r="R116" s="140">
        <v>300</v>
      </c>
      <c r="S116" s="151">
        <f t="shared" si="24"/>
        <v>900</v>
      </c>
      <c r="T116" s="142">
        <v>300</v>
      </c>
      <c r="U116" s="151">
        <f t="shared" si="25"/>
        <v>900</v>
      </c>
      <c r="V116" s="140">
        <v>300</v>
      </c>
      <c r="W116" s="151">
        <f t="shared" si="26"/>
        <v>900</v>
      </c>
      <c r="X116" s="142">
        <v>300</v>
      </c>
      <c r="Y116" s="151">
        <f t="shared" si="27"/>
        <v>900</v>
      </c>
      <c r="Z116" s="146"/>
      <c r="AA116" s="155">
        <f t="shared" si="28"/>
        <v>1200</v>
      </c>
      <c r="AB116" s="155">
        <f t="shared" si="19"/>
        <v>0</v>
      </c>
      <c r="AC116" s="149">
        <f t="shared" si="29"/>
        <v>300</v>
      </c>
      <c r="AD116" s="156">
        <f t="shared" si="31"/>
        <v>900</v>
      </c>
      <c r="AG116" s="149">
        <v>941</v>
      </c>
      <c r="AH116" s="149">
        <v>1600</v>
      </c>
      <c r="AI116" s="150" t="s">
        <v>1300</v>
      </c>
      <c r="AJ116" s="206">
        <f t="shared" si="22"/>
        <v>1129.1999999999998</v>
      </c>
      <c r="AL116" s="149">
        <f t="shared" si="30"/>
        <v>0</v>
      </c>
    </row>
    <row r="117" spans="1:38" ht="15">
      <c r="A117" s="140">
        <v>10949</v>
      </c>
      <c r="B117" s="140">
        <v>109</v>
      </c>
      <c r="C117" s="146"/>
      <c r="D117" s="147"/>
      <c r="E117" s="191" t="s">
        <v>1479</v>
      </c>
      <c r="F117" s="153">
        <v>1</v>
      </c>
      <c r="G117" s="154" t="s">
        <v>1245</v>
      </c>
      <c r="H117" s="140">
        <v>100</v>
      </c>
      <c r="I117" s="140" t="s">
        <v>376</v>
      </c>
      <c r="J117" s="140">
        <v>200</v>
      </c>
      <c r="K117" s="142">
        <v>0</v>
      </c>
      <c r="L117" s="142">
        <v>0</v>
      </c>
      <c r="M117" s="143">
        <v>70</v>
      </c>
      <c r="N117" s="144">
        <v>0</v>
      </c>
      <c r="O117" s="143">
        <f t="shared" si="21"/>
        <v>70</v>
      </c>
      <c r="P117" s="140">
        <v>30</v>
      </c>
      <c r="Q117" s="159">
        <f t="shared" si="23"/>
        <v>2100</v>
      </c>
      <c r="R117" s="140">
        <v>0</v>
      </c>
      <c r="S117" s="151">
        <f t="shared" si="24"/>
        <v>0</v>
      </c>
      <c r="T117" s="142">
        <v>70</v>
      </c>
      <c r="U117" s="151">
        <f t="shared" si="25"/>
        <v>2100</v>
      </c>
      <c r="V117" s="140">
        <v>0</v>
      </c>
      <c r="W117" s="151">
        <f t="shared" si="26"/>
        <v>0</v>
      </c>
      <c r="X117" s="142">
        <v>0</v>
      </c>
      <c r="Y117" s="151">
        <f t="shared" si="27"/>
        <v>0</v>
      </c>
      <c r="Z117" s="146"/>
      <c r="AA117" s="155">
        <f t="shared" si="28"/>
        <v>70</v>
      </c>
      <c r="AB117" s="155">
        <f>O117-AA117</f>
        <v>0</v>
      </c>
      <c r="AC117" s="149">
        <f>O117/4</f>
        <v>17.5</v>
      </c>
      <c r="AD117" s="156"/>
      <c r="AJ117" s="206">
        <f t="shared" si="22"/>
        <v>0</v>
      </c>
      <c r="AL117" s="149">
        <f t="shared" si="30"/>
        <v>0</v>
      </c>
    </row>
    <row r="118" spans="1:38" ht="15">
      <c r="A118" s="140">
        <v>10949</v>
      </c>
      <c r="B118" s="140">
        <v>110</v>
      </c>
      <c r="C118" s="146" t="s">
        <v>774</v>
      </c>
      <c r="D118" s="147" t="s">
        <v>773</v>
      </c>
      <c r="E118" s="152" t="s">
        <v>557</v>
      </c>
      <c r="F118" s="153">
        <v>1</v>
      </c>
      <c r="G118" s="146" t="s">
        <v>1248</v>
      </c>
      <c r="H118" s="140">
        <v>1</v>
      </c>
      <c r="I118" s="140" t="s">
        <v>486</v>
      </c>
      <c r="J118" s="140">
        <v>0</v>
      </c>
      <c r="K118" s="142">
        <v>5</v>
      </c>
      <c r="L118" s="142">
        <v>36</v>
      </c>
      <c r="M118" s="143">
        <v>40</v>
      </c>
      <c r="N118" s="144">
        <v>0</v>
      </c>
      <c r="O118" s="143">
        <f t="shared" si="21"/>
        <v>40</v>
      </c>
      <c r="P118" s="159">
        <v>120</v>
      </c>
      <c r="Q118" s="159">
        <f t="shared" si="23"/>
        <v>4800</v>
      </c>
      <c r="R118" s="140">
        <v>0</v>
      </c>
      <c r="S118" s="151">
        <f t="shared" si="24"/>
        <v>0</v>
      </c>
      <c r="T118" s="142">
        <v>40</v>
      </c>
      <c r="U118" s="151">
        <f t="shared" si="25"/>
        <v>4800</v>
      </c>
      <c r="V118" s="140">
        <v>0</v>
      </c>
      <c r="W118" s="151">
        <f t="shared" si="26"/>
        <v>0</v>
      </c>
      <c r="X118" s="142">
        <v>0</v>
      </c>
      <c r="Y118" s="151">
        <f t="shared" si="27"/>
        <v>0</v>
      </c>
      <c r="Z118" s="146"/>
      <c r="AA118" s="155">
        <f t="shared" si="28"/>
        <v>40</v>
      </c>
      <c r="AB118" s="155">
        <f t="shared" si="19"/>
        <v>0</v>
      </c>
      <c r="AC118" s="149">
        <f t="shared" si="29"/>
        <v>10</v>
      </c>
      <c r="AD118" s="156">
        <f t="shared" si="31"/>
        <v>1200</v>
      </c>
      <c r="AG118" s="149">
        <v>30</v>
      </c>
      <c r="AH118" s="149">
        <v>3390</v>
      </c>
      <c r="AI118" s="150" t="s">
        <v>1300</v>
      </c>
      <c r="AJ118" s="206">
        <f t="shared" si="22"/>
        <v>36</v>
      </c>
      <c r="AL118" s="149">
        <f t="shared" si="30"/>
        <v>0</v>
      </c>
    </row>
    <row r="119" spans="1:38" ht="15">
      <c r="A119" s="140">
        <v>10949</v>
      </c>
      <c r="B119" s="140">
        <v>111</v>
      </c>
      <c r="C119" s="146" t="s">
        <v>776</v>
      </c>
      <c r="D119" s="147" t="s">
        <v>775</v>
      </c>
      <c r="E119" s="191" t="s">
        <v>70</v>
      </c>
      <c r="F119" s="153">
        <v>1</v>
      </c>
      <c r="G119" s="154" t="s">
        <v>1245</v>
      </c>
      <c r="H119" s="140">
        <v>500</v>
      </c>
      <c r="I119" s="140" t="s">
        <v>376</v>
      </c>
      <c r="J119" s="140">
        <v>221</v>
      </c>
      <c r="K119" s="142">
        <f>84.5*2</f>
        <v>169</v>
      </c>
      <c r="L119" s="142">
        <v>94.80000000000001</v>
      </c>
      <c r="M119" s="143">
        <v>170</v>
      </c>
      <c r="N119" s="144">
        <v>50</v>
      </c>
      <c r="O119" s="143">
        <f t="shared" si="21"/>
        <v>120</v>
      </c>
      <c r="P119" s="140">
        <v>80</v>
      </c>
      <c r="Q119" s="159">
        <f t="shared" si="23"/>
        <v>9600</v>
      </c>
      <c r="R119" s="140">
        <v>30</v>
      </c>
      <c r="S119" s="151">
        <f t="shared" si="24"/>
        <v>2400</v>
      </c>
      <c r="T119" s="142">
        <v>30</v>
      </c>
      <c r="U119" s="151">
        <f t="shared" si="25"/>
        <v>2400</v>
      </c>
      <c r="V119" s="140">
        <v>30</v>
      </c>
      <c r="W119" s="151">
        <f t="shared" si="26"/>
        <v>2400</v>
      </c>
      <c r="X119" s="142">
        <v>30</v>
      </c>
      <c r="Y119" s="151">
        <f t="shared" si="27"/>
        <v>2400</v>
      </c>
      <c r="Z119" s="146"/>
      <c r="AA119" s="155">
        <f t="shared" si="28"/>
        <v>120</v>
      </c>
      <c r="AB119" s="155">
        <f t="shared" si="19"/>
        <v>0</v>
      </c>
      <c r="AC119" s="149">
        <f t="shared" si="29"/>
        <v>30</v>
      </c>
      <c r="AD119" s="156">
        <f t="shared" si="31"/>
        <v>2400</v>
      </c>
      <c r="AG119" s="149">
        <v>79</v>
      </c>
      <c r="AH119" s="149">
        <v>11810.5</v>
      </c>
      <c r="AI119" s="150" t="s">
        <v>1356</v>
      </c>
      <c r="AJ119" s="206">
        <f t="shared" si="22"/>
        <v>94.80000000000001</v>
      </c>
      <c r="AL119" s="149">
        <f t="shared" si="30"/>
        <v>0</v>
      </c>
    </row>
    <row r="120" spans="1:38" ht="15">
      <c r="A120" s="140">
        <v>10949</v>
      </c>
      <c r="B120" s="140">
        <v>112</v>
      </c>
      <c r="C120" s="212"/>
      <c r="D120" s="147"/>
      <c r="E120" s="191" t="s">
        <v>71</v>
      </c>
      <c r="F120" s="153">
        <v>1</v>
      </c>
      <c r="G120" s="154" t="s">
        <v>1249</v>
      </c>
      <c r="H120" s="140">
        <v>30</v>
      </c>
      <c r="I120" s="140" t="s">
        <v>1250</v>
      </c>
      <c r="J120" s="140">
        <v>2300</v>
      </c>
      <c r="K120" s="142">
        <v>2145</v>
      </c>
      <c r="L120" s="142">
        <v>1380</v>
      </c>
      <c r="M120" s="143">
        <v>2000</v>
      </c>
      <c r="N120" s="144">
        <v>400</v>
      </c>
      <c r="O120" s="143">
        <f t="shared" si="21"/>
        <v>1600</v>
      </c>
      <c r="P120" s="140">
        <v>6</v>
      </c>
      <c r="Q120" s="159">
        <f t="shared" si="23"/>
        <v>9600</v>
      </c>
      <c r="R120" s="140">
        <v>400</v>
      </c>
      <c r="S120" s="151">
        <f t="shared" si="24"/>
        <v>2400</v>
      </c>
      <c r="T120" s="142">
        <v>400</v>
      </c>
      <c r="U120" s="151">
        <f t="shared" si="25"/>
        <v>2400</v>
      </c>
      <c r="V120" s="140">
        <v>400</v>
      </c>
      <c r="W120" s="151">
        <f t="shared" si="26"/>
        <v>2400</v>
      </c>
      <c r="X120" s="142">
        <v>400</v>
      </c>
      <c r="Y120" s="151">
        <f t="shared" si="27"/>
        <v>2400</v>
      </c>
      <c r="Z120" s="146"/>
      <c r="AA120" s="155">
        <f t="shared" si="28"/>
        <v>1600</v>
      </c>
      <c r="AB120" s="155">
        <f t="shared" si="19"/>
        <v>0</v>
      </c>
      <c r="AC120" s="149">
        <f t="shared" si="29"/>
        <v>400</v>
      </c>
      <c r="AD120" s="156">
        <f t="shared" si="31"/>
        <v>2400</v>
      </c>
      <c r="AG120" s="149">
        <v>1150</v>
      </c>
      <c r="AH120" s="149">
        <v>5750</v>
      </c>
      <c r="AI120" s="150" t="s">
        <v>1356</v>
      </c>
      <c r="AJ120" s="206">
        <f t="shared" si="22"/>
        <v>1380</v>
      </c>
      <c r="AL120" s="149">
        <f t="shared" si="30"/>
        <v>0</v>
      </c>
    </row>
    <row r="121" spans="1:38" ht="15">
      <c r="A121" s="140">
        <v>10949</v>
      </c>
      <c r="B121" s="140">
        <v>113</v>
      </c>
      <c r="C121" s="146" t="s">
        <v>778</v>
      </c>
      <c r="D121" s="147" t="s">
        <v>777</v>
      </c>
      <c r="E121" s="191" t="s">
        <v>387</v>
      </c>
      <c r="F121" s="153">
        <v>1</v>
      </c>
      <c r="G121" s="154" t="s">
        <v>1248</v>
      </c>
      <c r="H121" s="140">
        <v>1</v>
      </c>
      <c r="I121" s="140" t="s">
        <v>378</v>
      </c>
      <c r="J121" s="140">
        <v>112</v>
      </c>
      <c r="K121" s="142">
        <v>99</v>
      </c>
      <c r="L121" s="142">
        <v>25.200000000000003</v>
      </c>
      <c r="M121" s="143">
        <v>83</v>
      </c>
      <c r="N121" s="144">
        <v>158</v>
      </c>
      <c r="O121" s="143">
        <v>0</v>
      </c>
      <c r="P121" s="140">
        <v>35.48</v>
      </c>
      <c r="Q121" s="159">
        <f t="shared" si="23"/>
        <v>0</v>
      </c>
      <c r="R121" s="140">
        <v>0</v>
      </c>
      <c r="S121" s="151">
        <f t="shared" si="24"/>
        <v>0</v>
      </c>
      <c r="T121" s="142">
        <v>0</v>
      </c>
      <c r="U121" s="151">
        <f t="shared" si="25"/>
        <v>0</v>
      </c>
      <c r="V121" s="140">
        <v>0</v>
      </c>
      <c r="W121" s="151">
        <f t="shared" si="26"/>
        <v>0</v>
      </c>
      <c r="X121" s="142">
        <v>0</v>
      </c>
      <c r="Y121" s="151">
        <f t="shared" si="27"/>
        <v>0</v>
      </c>
      <c r="Z121" s="146"/>
      <c r="AA121" s="155">
        <f t="shared" si="28"/>
        <v>0</v>
      </c>
      <c r="AB121" s="155">
        <f t="shared" si="19"/>
        <v>0</v>
      </c>
      <c r="AC121" s="149">
        <f t="shared" si="29"/>
        <v>0</v>
      </c>
      <c r="AD121" s="156">
        <f t="shared" si="31"/>
        <v>0</v>
      </c>
      <c r="AG121" s="149">
        <v>21</v>
      </c>
      <c r="AH121" s="149">
        <v>449.4</v>
      </c>
      <c r="AI121" s="150" t="s">
        <v>1300</v>
      </c>
      <c r="AJ121" s="206">
        <f t="shared" si="22"/>
        <v>25.200000000000003</v>
      </c>
      <c r="AL121" s="149">
        <f t="shared" si="30"/>
        <v>0</v>
      </c>
    </row>
    <row r="122" spans="1:38" ht="15">
      <c r="A122" s="140">
        <v>10949</v>
      </c>
      <c r="B122" s="140">
        <v>114</v>
      </c>
      <c r="C122" s="146" t="s">
        <v>780</v>
      </c>
      <c r="D122" s="147" t="s">
        <v>779</v>
      </c>
      <c r="E122" s="191" t="s">
        <v>72</v>
      </c>
      <c r="F122" s="153">
        <v>1</v>
      </c>
      <c r="G122" s="154" t="s">
        <v>1252</v>
      </c>
      <c r="H122" s="140">
        <v>500</v>
      </c>
      <c r="I122" s="140" t="s">
        <v>1253</v>
      </c>
      <c r="J122" s="140">
        <v>9</v>
      </c>
      <c r="K122" s="142">
        <v>5</v>
      </c>
      <c r="L122" s="142">
        <v>6</v>
      </c>
      <c r="M122" s="143">
        <v>7</v>
      </c>
      <c r="N122" s="144">
        <v>3</v>
      </c>
      <c r="O122" s="143">
        <f t="shared" si="21"/>
        <v>4</v>
      </c>
      <c r="P122" s="157">
        <v>350.96</v>
      </c>
      <c r="Q122" s="159">
        <f t="shared" si="23"/>
        <v>1403.84</v>
      </c>
      <c r="R122" s="140">
        <v>0</v>
      </c>
      <c r="S122" s="151">
        <f t="shared" si="24"/>
        <v>0</v>
      </c>
      <c r="T122" s="142">
        <v>0</v>
      </c>
      <c r="U122" s="151">
        <f t="shared" si="25"/>
        <v>0</v>
      </c>
      <c r="V122" s="140">
        <v>4</v>
      </c>
      <c r="W122" s="151">
        <f t="shared" si="26"/>
        <v>1403.84</v>
      </c>
      <c r="X122" s="142">
        <v>0</v>
      </c>
      <c r="Y122" s="151">
        <f t="shared" si="27"/>
        <v>0</v>
      </c>
      <c r="Z122" s="146"/>
      <c r="AA122" s="155">
        <f t="shared" si="28"/>
        <v>4</v>
      </c>
      <c r="AB122" s="155">
        <f t="shared" si="19"/>
        <v>0</v>
      </c>
      <c r="AC122" s="149">
        <f t="shared" si="29"/>
        <v>1</v>
      </c>
      <c r="AD122" s="156">
        <f t="shared" si="31"/>
        <v>350.96</v>
      </c>
      <c r="AG122" s="149">
        <v>5</v>
      </c>
      <c r="AH122" s="149">
        <v>1750</v>
      </c>
      <c r="AI122" s="150" t="s">
        <v>1352</v>
      </c>
      <c r="AJ122" s="206">
        <f t="shared" si="22"/>
        <v>6</v>
      </c>
      <c r="AL122" s="149">
        <f t="shared" si="30"/>
        <v>0</v>
      </c>
    </row>
    <row r="123" spans="1:38" ht="15">
      <c r="A123" s="140">
        <v>10949</v>
      </c>
      <c r="B123" s="140">
        <v>115</v>
      </c>
      <c r="C123" s="146"/>
      <c r="D123" s="147"/>
      <c r="E123" s="191" t="s">
        <v>1264</v>
      </c>
      <c r="F123" s="153">
        <v>1</v>
      </c>
      <c r="G123" s="154" t="s">
        <v>1248</v>
      </c>
      <c r="H123" s="140">
        <v>1</v>
      </c>
      <c r="I123" s="140" t="s">
        <v>392</v>
      </c>
      <c r="J123" s="140">
        <v>226</v>
      </c>
      <c r="K123" s="142">
        <v>234</v>
      </c>
      <c r="L123" s="142">
        <v>199.20000000000002</v>
      </c>
      <c r="M123" s="143">
        <v>230</v>
      </c>
      <c r="N123" s="144">
        <v>30</v>
      </c>
      <c r="O123" s="143">
        <f t="shared" si="21"/>
        <v>200</v>
      </c>
      <c r="P123" s="157">
        <v>130</v>
      </c>
      <c r="Q123" s="159">
        <f t="shared" si="23"/>
        <v>26000</v>
      </c>
      <c r="R123" s="140">
        <v>50</v>
      </c>
      <c r="S123" s="151">
        <f t="shared" si="24"/>
        <v>6500</v>
      </c>
      <c r="T123" s="142">
        <v>50</v>
      </c>
      <c r="U123" s="151">
        <f t="shared" si="25"/>
        <v>6500</v>
      </c>
      <c r="V123" s="140">
        <v>50</v>
      </c>
      <c r="W123" s="151">
        <f t="shared" si="26"/>
        <v>6500</v>
      </c>
      <c r="X123" s="142">
        <v>50</v>
      </c>
      <c r="Y123" s="151">
        <f t="shared" si="27"/>
        <v>6500</v>
      </c>
      <c r="Z123" s="146"/>
      <c r="AA123" s="155">
        <f t="shared" si="28"/>
        <v>200</v>
      </c>
      <c r="AB123" s="155">
        <f>O123-AA123</f>
        <v>0</v>
      </c>
      <c r="AC123" s="149">
        <f>O123/4</f>
        <v>50</v>
      </c>
      <c r="AD123" s="156"/>
      <c r="AG123" s="149">
        <v>166</v>
      </c>
      <c r="AH123" s="149">
        <v>21580</v>
      </c>
      <c r="AJ123" s="206">
        <f t="shared" si="22"/>
        <v>199.20000000000002</v>
      </c>
      <c r="AL123" s="149">
        <f t="shared" si="30"/>
        <v>0</v>
      </c>
    </row>
    <row r="124" spans="1:38" ht="15">
      <c r="A124" s="140">
        <v>10949</v>
      </c>
      <c r="B124" s="140">
        <v>116</v>
      </c>
      <c r="C124" s="146" t="s">
        <v>782</v>
      </c>
      <c r="D124" s="147" t="s">
        <v>781</v>
      </c>
      <c r="E124" s="191" t="s">
        <v>75</v>
      </c>
      <c r="F124" s="153">
        <v>1</v>
      </c>
      <c r="G124" s="154" t="s">
        <v>1245</v>
      </c>
      <c r="H124" s="140">
        <v>1000</v>
      </c>
      <c r="I124" s="140" t="s">
        <v>376</v>
      </c>
      <c r="J124" s="140">
        <v>95</v>
      </c>
      <c r="K124" s="142">
        <v>78</v>
      </c>
      <c r="L124" s="142">
        <v>24</v>
      </c>
      <c r="M124" s="143">
        <v>69</v>
      </c>
      <c r="N124" s="144">
        <v>19</v>
      </c>
      <c r="O124" s="143">
        <f t="shared" si="21"/>
        <v>50</v>
      </c>
      <c r="P124" s="140">
        <v>450</v>
      </c>
      <c r="Q124" s="159">
        <f t="shared" si="23"/>
        <v>22500</v>
      </c>
      <c r="R124" s="140">
        <v>15</v>
      </c>
      <c r="S124" s="151">
        <f t="shared" si="24"/>
        <v>6750</v>
      </c>
      <c r="T124" s="142">
        <v>10</v>
      </c>
      <c r="U124" s="151">
        <f t="shared" si="25"/>
        <v>4500</v>
      </c>
      <c r="V124" s="140">
        <v>15</v>
      </c>
      <c r="W124" s="151">
        <f t="shared" si="26"/>
        <v>6750</v>
      </c>
      <c r="X124" s="142">
        <v>10</v>
      </c>
      <c r="Y124" s="151">
        <f t="shared" si="27"/>
        <v>4500</v>
      </c>
      <c r="Z124" s="146"/>
      <c r="AA124" s="155">
        <f t="shared" si="28"/>
        <v>50</v>
      </c>
      <c r="AB124" s="155">
        <f t="shared" si="19"/>
        <v>0</v>
      </c>
      <c r="AC124" s="149">
        <f t="shared" si="29"/>
        <v>12.5</v>
      </c>
      <c r="AD124" s="156">
        <f t="shared" si="31"/>
        <v>5625</v>
      </c>
      <c r="AG124" s="149">
        <v>20</v>
      </c>
      <c r="AH124" s="149">
        <v>34200</v>
      </c>
      <c r="AI124" s="150" t="s">
        <v>1356</v>
      </c>
      <c r="AJ124" s="206">
        <f t="shared" si="22"/>
        <v>24</v>
      </c>
      <c r="AL124" s="149">
        <f t="shared" si="30"/>
        <v>0</v>
      </c>
    </row>
    <row r="125" spans="1:38" ht="15">
      <c r="A125" s="140">
        <v>10949</v>
      </c>
      <c r="B125" s="140">
        <v>117</v>
      </c>
      <c r="C125" s="146" t="s">
        <v>784</v>
      </c>
      <c r="D125" s="147" t="s">
        <v>783</v>
      </c>
      <c r="E125" s="191" t="s">
        <v>74</v>
      </c>
      <c r="F125" s="153">
        <v>1</v>
      </c>
      <c r="G125" s="154" t="s">
        <v>1245</v>
      </c>
      <c r="H125" s="140">
        <v>1000</v>
      </c>
      <c r="I125" s="140" t="s">
        <v>376</v>
      </c>
      <c r="J125" s="140">
        <v>942</v>
      </c>
      <c r="K125" s="142">
        <v>978</v>
      </c>
      <c r="L125" s="142">
        <v>1065.6</v>
      </c>
      <c r="M125" s="143">
        <v>1050</v>
      </c>
      <c r="N125" s="144">
        <v>250</v>
      </c>
      <c r="O125" s="143">
        <f t="shared" si="21"/>
        <v>800</v>
      </c>
      <c r="P125" s="140">
        <v>250</v>
      </c>
      <c r="Q125" s="159">
        <f t="shared" si="23"/>
        <v>200000</v>
      </c>
      <c r="R125" s="140">
        <v>200</v>
      </c>
      <c r="S125" s="151">
        <f t="shared" si="24"/>
        <v>50000</v>
      </c>
      <c r="T125" s="142">
        <v>200</v>
      </c>
      <c r="U125" s="151">
        <f t="shared" si="25"/>
        <v>50000</v>
      </c>
      <c r="V125" s="140">
        <v>200</v>
      </c>
      <c r="W125" s="151">
        <f t="shared" si="26"/>
        <v>50000</v>
      </c>
      <c r="X125" s="142">
        <v>200</v>
      </c>
      <c r="Y125" s="151">
        <f t="shared" si="27"/>
        <v>50000</v>
      </c>
      <c r="Z125" s="146"/>
      <c r="AA125" s="155">
        <f t="shared" si="28"/>
        <v>800</v>
      </c>
      <c r="AB125" s="155">
        <f t="shared" si="19"/>
        <v>0</v>
      </c>
      <c r="AC125" s="149">
        <f t="shared" si="29"/>
        <v>200</v>
      </c>
      <c r="AD125" s="156">
        <f t="shared" si="31"/>
        <v>50000</v>
      </c>
      <c r="AG125" s="149">
        <v>888</v>
      </c>
      <c r="AH125" s="149">
        <v>232310</v>
      </c>
      <c r="AI125" s="150" t="s">
        <v>1355</v>
      </c>
      <c r="AJ125" s="206">
        <f t="shared" si="22"/>
        <v>1065.6</v>
      </c>
      <c r="AL125" s="149">
        <f t="shared" si="30"/>
        <v>0</v>
      </c>
    </row>
    <row r="126" spans="1:38" ht="15">
      <c r="A126" s="140">
        <v>10949</v>
      </c>
      <c r="B126" s="140">
        <v>118</v>
      </c>
      <c r="C126" s="212">
        <v>561101</v>
      </c>
      <c r="D126" s="147" t="s">
        <v>1222</v>
      </c>
      <c r="E126" s="191" t="s">
        <v>1406</v>
      </c>
      <c r="F126" s="153">
        <v>1</v>
      </c>
      <c r="G126" s="154" t="s">
        <v>1257</v>
      </c>
      <c r="H126" s="140">
        <v>1</v>
      </c>
      <c r="I126" s="140" t="s">
        <v>380</v>
      </c>
      <c r="J126" s="140">
        <v>412</v>
      </c>
      <c r="K126" s="142">
        <v>601</v>
      </c>
      <c r="L126" s="142">
        <v>358.79999999999995</v>
      </c>
      <c r="M126" s="143">
        <v>480</v>
      </c>
      <c r="N126" s="144">
        <v>80</v>
      </c>
      <c r="O126" s="143">
        <f t="shared" si="21"/>
        <v>400</v>
      </c>
      <c r="P126" s="140">
        <v>18</v>
      </c>
      <c r="Q126" s="159">
        <f t="shared" si="23"/>
        <v>7200</v>
      </c>
      <c r="R126" s="140">
        <v>100</v>
      </c>
      <c r="S126" s="151">
        <f t="shared" si="24"/>
        <v>1800</v>
      </c>
      <c r="T126" s="142">
        <v>100</v>
      </c>
      <c r="U126" s="151">
        <f t="shared" si="25"/>
        <v>1800</v>
      </c>
      <c r="V126" s="140">
        <v>100</v>
      </c>
      <c r="W126" s="151">
        <f t="shared" si="26"/>
        <v>1800</v>
      </c>
      <c r="X126" s="142">
        <v>100</v>
      </c>
      <c r="Y126" s="151">
        <f t="shared" si="27"/>
        <v>1800</v>
      </c>
      <c r="Z126" s="146"/>
      <c r="AA126" s="155">
        <f t="shared" si="28"/>
        <v>400</v>
      </c>
      <c r="AB126" s="155">
        <f t="shared" si="19"/>
        <v>0</v>
      </c>
      <c r="AC126" s="149">
        <f t="shared" si="29"/>
        <v>100</v>
      </c>
      <c r="AD126" s="156">
        <f t="shared" si="31"/>
        <v>1800</v>
      </c>
      <c r="AG126" s="149">
        <v>299</v>
      </c>
      <c r="AH126" s="149">
        <v>5382</v>
      </c>
      <c r="AI126" s="150" t="s">
        <v>1352</v>
      </c>
      <c r="AJ126" s="206">
        <f t="shared" si="22"/>
        <v>358.79999999999995</v>
      </c>
      <c r="AL126" s="149">
        <f t="shared" si="30"/>
        <v>0</v>
      </c>
    </row>
    <row r="127" spans="1:38" ht="15">
      <c r="A127" s="140">
        <v>10949</v>
      </c>
      <c r="B127" s="140">
        <v>119</v>
      </c>
      <c r="C127" s="146" t="s">
        <v>786</v>
      </c>
      <c r="D127" s="147" t="s">
        <v>785</v>
      </c>
      <c r="E127" s="191" t="s">
        <v>76</v>
      </c>
      <c r="F127" s="153">
        <v>1</v>
      </c>
      <c r="G127" s="154" t="s">
        <v>1257</v>
      </c>
      <c r="H127" s="140">
        <v>1</v>
      </c>
      <c r="I127" s="140" t="s">
        <v>380</v>
      </c>
      <c r="J127" s="140">
        <v>68</v>
      </c>
      <c r="K127" s="142">
        <v>10</v>
      </c>
      <c r="L127" s="142">
        <v>69.6</v>
      </c>
      <c r="M127" s="143">
        <v>70</v>
      </c>
      <c r="N127" s="144">
        <v>70</v>
      </c>
      <c r="O127" s="143">
        <v>0</v>
      </c>
      <c r="P127" s="140">
        <v>6</v>
      </c>
      <c r="Q127" s="159">
        <f t="shared" si="23"/>
        <v>0</v>
      </c>
      <c r="R127" s="140">
        <v>0</v>
      </c>
      <c r="S127" s="151">
        <f t="shared" si="24"/>
        <v>0</v>
      </c>
      <c r="T127" s="142">
        <v>0</v>
      </c>
      <c r="U127" s="151">
        <f t="shared" si="25"/>
        <v>0</v>
      </c>
      <c r="V127" s="140">
        <v>0</v>
      </c>
      <c r="W127" s="151">
        <f t="shared" si="26"/>
        <v>0</v>
      </c>
      <c r="X127" s="142">
        <v>0</v>
      </c>
      <c r="Y127" s="151">
        <f t="shared" si="27"/>
        <v>0</v>
      </c>
      <c r="Z127" s="146"/>
      <c r="AA127" s="155">
        <f t="shared" si="28"/>
        <v>0</v>
      </c>
      <c r="AB127" s="155">
        <f t="shared" si="19"/>
        <v>0</v>
      </c>
      <c r="AC127" s="149">
        <f t="shared" si="29"/>
        <v>0</v>
      </c>
      <c r="AD127" s="156">
        <f t="shared" si="31"/>
        <v>0</v>
      </c>
      <c r="AG127" s="149">
        <v>58</v>
      </c>
      <c r="AH127" s="149">
        <v>348</v>
      </c>
      <c r="AI127" s="150" t="s">
        <v>1352</v>
      </c>
      <c r="AJ127" s="206">
        <f t="shared" si="22"/>
        <v>69.6</v>
      </c>
      <c r="AL127" s="149">
        <f t="shared" si="30"/>
        <v>0</v>
      </c>
    </row>
    <row r="128" spans="1:38" ht="15">
      <c r="A128" s="140">
        <v>10949</v>
      </c>
      <c r="B128" s="140">
        <v>120</v>
      </c>
      <c r="C128" s="146" t="s">
        <v>788</v>
      </c>
      <c r="D128" s="147" t="s">
        <v>787</v>
      </c>
      <c r="E128" s="191" t="s">
        <v>390</v>
      </c>
      <c r="F128" s="153">
        <v>1</v>
      </c>
      <c r="G128" s="154" t="s">
        <v>1248</v>
      </c>
      <c r="H128" s="140">
        <v>1</v>
      </c>
      <c r="I128" s="140" t="s">
        <v>377</v>
      </c>
      <c r="J128" s="140">
        <v>800</v>
      </c>
      <c r="K128" s="140">
        <v>850</v>
      </c>
      <c r="L128" s="142">
        <v>1236</v>
      </c>
      <c r="M128" s="143">
        <v>1200</v>
      </c>
      <c r="N128" s="144">
        <v>0</v>
      </c>
      <c r="O128" s="143">
        <f t="shared" si="21"/>
        <v>1200</v>
      </c>
      <c r="P128" s="140">
        <v>6</v>
      </c>
      <c r="Q128" s="159">
        <f t="shared" si="23"/>
        <v>7200</v>
      </c>
      <c r="R128" s="140">
        <v>300</v>
      </c>
      <c r="S128" s="151">
        <f t="shared" si="24"/>
        <v>1800</v>
      </c>
      <c r="T128" s="142">
        <v>300</v>
      </c>
      <c r="U128" s="151">
        <f t="shared" si="25"/>
        <v>1800</v>
      </c>
      <c r="V128" s="140">
        <v>300</v>
      </c>
      <c r="W128" s="151">
        <f t="shared" si="26"/>
        <v>1800</v>
      </c>
      <c r="X128" s="142">
        <v>300</v>
      </c>
      <c r="Y128" s="151">
        <f t="shared" si="27"/>
        <v>1800</v>
      </c>
      <c r="Z128" s="146"/>
      <c r="AA128" s="155">
        <f t="shared" si="28"/>
        <v>1200</v>
      </c>
      <c r="AB128" s="155">
        <f t="shared" si="19"/>
        <v>0</v>
      </c>
      <c r="AC128" s="149">
        <f t="shared" si="29"/>
        <v>300</v>
      </c>
      <c r="AD128" s="156">
        <f t="shared" si="31"/>
        <v>1800</v>
      </c>
      <c r="AG128" s="149">
        <v>1030</v>
      </c>
      <c r="AH128" s="149">
        <v>5956.8</v>
      </c>
      <c r="AI128" s="150" t="s">
        <v>1300</v>
      </c>
      <c r="AJ128" s="206">
        <f t="shared" si="22"/>
        <v>1236</v>
      </c>
      <c r="AL128" s="149">
        <f t="shared" si="30"/>
        <v>0</v>
      </c>
    </row>
    <row r="129" spans="1:38" ht="15">
      <c r="A129" s="140">
        <v>10949</v>
      </c>
      <c r="B129" s="140">
        <v>121</v>
      </c>
      <c r="C129" s="146" t="s">
        <v>790</v>
      </c>
      <c r="D129" s="147" t="s">
        <v>789</v>
      </c>
      <c r="E129" s="191" t="s">
        <v>77</v>
      </c>
      <c r="F129" s="153">
        <v>1</v>
      </c>
      <c r="G129" s="154" t="s">
        <v>1245</v>
      </c>
      <c r="H129" s="140">
        <v>250</v>
      </c>
      <c r="I129" s="140" t="s">
        <v>376</v>
      </c>
      <c r="J129" s="140">
        <v>225</v>
      </c>
      <c r="K129" s="142">
        <v>75</v>
      </c>
      <c r="L129" s="142">
        <v>100</v>
      </c>
      <c r="M129" s="143">
        <v>140</v>
      </c>
      <c r="N129" s="144">
        <v>20</v>
      </c>
      <c r="O129" s="143">
        <f t="shared" si="21"/>
        <v>120</v>
      </c>
      <c r="P129" s="140">
        <v>375</v>
      </c>
      <c r="Q129" s="159">
        <f t="shared" si="23"/>
        <v>45000</v>
      </c>
      <c r="R129" s="140">
        <v>30</v>
      </c>
      <c r="S129" s="151">
        <f t="shared" si="24"/>
        <v>11250</v>
      </c>
      <c r="T129" s="142">
        <v>30</v>
      </c>
      <c r="U129" s="151">
        <f t="shared" si="25"/>
        <v>11250</v>
      </c>
      <c r="V129" s="140">
        <v>30</v>
      </c>
      <c r="W129" s="151">
        <f t="shared" si="26"/>
        <v>11250</v>
      </c>
      <c r="X129" s="142">
        <v>30</v>
      </c>
      <c r="Y129" s="151">
        <f t="shared" si="27"/>
        <v>11250</v>
      </c>
      <c r="Z129" s="146"/>
      <c r="AA129" s="155">
        <f t="shared" si="28"/>
        <v>120</v>
      </c>
      <c r="AB129" s="155">
        <f t="shared" si="19"/>
        <v>0</v>
      </c>
      <c r="AC129" s="149">
        <f t="shared" si="29"/>
        <v>30</v>
      </c>
      <c r="AD129" s="156">
        <f t="shared" si="31"/>
        <v>11250</v>
      </c>
      <c r="AG129" s="149">
        <v>3.24</v>
      </c>
      <c r="AH129" s="149">
        <v>1370</v>
      </c>
      <c r="AI129" s="150" t="s">
        <v>1352</v>
      </c>
      <c r="AJ129" s="206">
        <f t="shared" si="22"/>
        <v>3.888</v>
      </c>
      <c r="AL129" s="149">
        <f t="shared" si="30"/>
        <v>0</v>
      </c>
    </row>
    <row r="130" spans="1:38" ht="15">
      <c r="A130" s="140">
        <v>10949</v>
      </c>
      <c r="B130" s="140">
        <v>122</v>
      </c>
      <c r="C130" s="146" t="s">
        <v>792</v>
      </c>
      <c r="D130" s="147" t="s">
        <v>791</v>
      </c>
      <c r="E130" s="191" t="s">
        <v>391</v>
      </c>
      <c r="F130" s="153">
        <v>1</v>
      </c>
      <c r="G130" s="154" t="s">
        <v>1255</v>
      </c>
      <c r="H130" s="140">
        <v>60</v>
      </c>
      <c r="I130" s="140" t="s">
        <v>1250</v>
      </c>
      <c r="J130" s="140">
        <v>420</v>
      </c>
      <c r="K130" s="142">
        <v>120</v>
      </c>
      <c r="L130" s="142">
        <v>132</v>
      </c>
      <c r="M130" s="143">
        <v>230</v>
      </c>
      <c r="N130" s="144">
        <v>380</v>
      </c>
      <c r="O130" s="143">
        <v>0</v>
      </c>
      <c r="P130" s="140">
        <v>17</v>
      </c>
      <c r="Q130" s="159">
        <f t="shared" si="23"/>
        <v>0</v>
      </c>
      <c r="R130" s="140">
        <v>0</v>
      </c>
      <c r="S130" s="151">
        <f t="shared" si="24"/>
        <v>0</v>
      </c>
      <c r="T130" s="142">
        <v>0</v>
      </c>
      <c r="U130" s="151">
        <f t="shared" si="25"/>
        <v>0</v>
      </c>
      <c r="V130" s="140">
        <v>0</v>
      </c>
      <c r="W130" s="151">
        <f t="shared" si="26"/>
        <v>0</v>
      </c>
      <c r="X130" s="142">
        <v>0</v>
      </c>
      <c r="Y130" s="151">
        <f t="shared" si="27"/>
        <v>0</v>
      </c>
      <c r="Z130" s="146"/>
      <c r="AA130" s="155">
        <f t="shared" si="28"/>
        <v>0</v>
      </c>
      <c r="AB130" s="155">
        <f t="shared" si="19"/>
        <v>0</v>
      </c>
      <c r="AC130" s="149">
        <f t="shared" si="29"/>
        <v>0</v>
      </c>
      <c r="AD130" s="156">
        <f t="shared" si="31"/>
        <v>0</v>
      </c>
      <c r="AG130" s="149">
        <v>110</v>
      </c>
      <c r="AH130" s="149">
        <v>1870</v>
      </c>
      <c r="AI130" s="150" t="s">
        <v>1352</v>
      </c>
      <c r="AJ130" s="206">
        <f t="shared" si="22"/>
        <v>132</v>
      </c>
      <c r="AL130" s="149">
        <f t="shared" si="30"/>
        <v>0</v>
      </c>
    </row>
    <row r="131" spans="1:38" ht="15">
      <c r="A131" s="140">
        <v>10949</v>
      </c>
      <c r="B131" s="140">
        <v>123</v>
      </c>
      <c r="C131" s="146"/>
      <c r="D131" s="147"/>
      <c r="E131" s="191" t="s">
        <v>78</v>
      </c>
      <c r="F131" s="153">
        <v>1</v>
      </c>
      <c r="G131" s="154" t="s">
        <v>1245</v>
      </c>
      <c r="H131" s="140">
        <v>500</v>
      </c>
      <c r="I131" s="140" t="s">
        <v>376</v>
      </c>
      <c r="J131" s="140">
        <v>23</v>
      </c>
      <c r="K131" s="142">
        <v>16</v>
      </c>
      <c r="L131" s="142">
        <v>7.199999999999999</v>
      </c>
      <c r="M131" s="143">
        <v>16</v>
      </c>
      <c r="N131" s="144">
        <v>0</v>
      </c>
      <c r="O131" s="143">
        <v>5</v>
      </c>
      <c r="P131" s="140">
        <v>766</v>
      </c>
      <c r="Q131" s="159">
        <f t="shared" si="23"/>
        <v>3830</v>
      </c>
      <c r="R131" s="140">
        <v>0</v>
      </c>
      <c r="S131" s="151">
        <f t="shared" si="24"/>
        <v>0</v>
      </c>
      <c r="T131" s="142">
        <v>5</v>
      </c>
      <c r="U131" s="151">
        <f t="shared" si="25"/>
        <v>3830</v>
      </c>
      <c r="V131" s="140">
        <v>0</v>
      </c>
      <c r="W131" s="151">
        <f t="shared" si="26"/>
        <v>0</v>
      </c>
      <c r="X131" s="142">
        <v>0</v>
      </c>
      <c r="Y131" s="151">
        <f t="shared" si="27"/>
        <v>0</v>
      </c>
      <c r="Z131" s="146"/>
      <c r="AA131" s="155">
        <f t="shared" si="28"/>
        <v>5</v>
      </c>
      <c r="AB131" s="155">
        <f t="shared" si="19"/>
        <v>0</v>
      </c>
      <c r="AC131" s="149">
        <f t="shared" si="29"/>
        <v>1.25</v>
      </c>
      <c r="AD131" s="156">
        <f t="shared" si="31"/>
        <v>957.5</v>
      </c>
      <c r="AG131" s="149">
        <v>6</v>
      </c>
      <c r="AH131" s="149">
        <v>4576</v>
      </c>
      <c r="AI131" s="150" t="s">
        <v>1300</v>
      </c>
      <c r="AJ131" s="206">
        <f t="shared" si="22"/>
        <v>7.199999999999999</v>
      </c>
      <c r="AL131" s="149">
        <f t="shared" si="30"/>
        <v>0</v>
      </c>
    </row>
    <row r="132" spans="1:38" ht="15">
      <c r="A132" s="140">
        <v>10949</v>
      </c>
      <c r="B132" s="140">
        <v>124</v>
      </c>
      <c r="C132" s="146"/>
      <c r="D132" s="147"/>
      <c r="E132" s="191" t="s">
        <v>79</v>
      </c>
      <c r="F132" s="153">
        <v>1</v>
      </c>
      <c r="G132" s="154" t="s">
        <v>1257</v>
      </c>
      <c r="H132" s="140">
        <v>18</v>
      </c>
      <c r="I132" s="140" t="s">
        <v>1265</v>
      </c>
      <c r="J132" s="140">
        <v>1</v>
      </c>
      <c r="K132" s="142">
        <v>0</v>
      </c>
      <c r="L132" s="142">
        <v>0</v>
      </c>
      <c r="M132" s="143">
        <v>0</v>
      </c>
      <c r="N132" s="144">
        <v>4</v>
      </c>
      <c r="O132" s="143">
        <v>0</v>
      </c>
      <c r="P132" s="140">
        <v>1050</v>
      </c>
      <c r="Q132" s="159">
        <f t="shared" si="23"/>
        <v>0</v>
      </c>
      <c r="R132" s="140">
        <v>0</v>
      </c>
      <c r="S132" s="151">
        <f t="shared" si="24"/>
        <v>0</v>
      </c>
      <c r="T132" s="142">
        <v>0</v>
      </c>
      <c r="U132" s="151">
        <f t="shared" si="25"/>
        <v>0</v>
      </c>
      <c r="V132" s="140">
        <v>0</v>
      </c>
      <c r="W132" s="151">
        <f t="shared" si="26"/>
        <v>0</v>
      </c>
      <c r="X132" s="142">
        <v>0</v>
      </c>
      <c r="Y132" s="151">
        <f t="shared" si="27"/>
        <v>0</v>
      </c>
      <c r="Z132" s="146"/>
      <c r="AA132" s="155">
        <f t="shared" si="28"/>
        <v>0</v>
      </c>
      <c r="AB132" s="155">
        <f t="shared" si="19"/>
        <v>0</v>
      </c>
      <c r="AC132" s="149">
        <f t="shared" si="29"/>
        <v>0</v>
      </c>
      <c r="AD132" s="156">
        <f t="shared" si="31"/>
        <v>0</v>
      </c>
      <c r="AI132" s="150" t="s">
        <v>1352</v>
      </c>
      <c r="AJ132" s="206">
        <f t="shared" si="22"/>
        <v>0</v>
      </c>
      <c r="AL132" s="149">
        <f t="shared" si="30"/>
        <v>0</v>
      </c>
    </row>
    <row r="133" spans="1:38" ht="15">
      <c r="A133" s="130" t="s">
        <v>1199</v>
      </c>
      <c r="B133" s="130" t="s">
        <v>2</v>
      </c>
      <c r="C133" s="130" t="s">
        <v>1200</v>
      </c>
      <c r="D133" s="198" t="s">
        <v>1201</v>
      </c>
      <c r="E133" s="134" t="s">
        <v>1285</v>
      </c>
      <c r="F133" s="134" t="s">
        <v>1295</v>
      </c>
      <c r="G133" s="134" t="s">
        <v>1202</v>
      </c>
      <c r="H133" s="130" t="s">
        <v>1579</v>
      </c>
      <c r="I133" s="130" t="s">
        <v>1203</v>
      </c>
      <c r="J133" s="199"/>
      <c r="K133" s="131" t="s">
        <v>1205</v>
      </c>
      <c r="L133" s="132"/>
      <c r="M133" s="133" t="s">
        <v>0</v>
      </c>
      <c r="N133" s="134" t="s">
        <v>1214</v>
      </c>
      <c r="O133" s="133" t="s">
        <v>0</v>
      </c>
      <c r="P133" s="130" t="s">
        <v>1390</v>
      </c>
      <c r="Q133" s="200" t="s">
        <v>1206</v>
      </c>
      <c r="R133" s="201" t="s">
        <v>1289</v>
      </c>
      <c r="S133" s="132"/>
      <c r="T133" s="201" t="s">
        <v>1290</v>
      </c>
      <c r="U133" s="202"/>
      <c r="V133" s="201" t="s">
        <v>1291</v>
      </c>
      <c r="W133" s="132"/>
      <c r="X133" s="201" t="s">
        <v>1292</v>
      </c>
      <c r="Y133" s="202"/>
      <c r="Z133" s="203" t="s">
        <v>608</v>
      </c>
      <c r="AA133" s="204"/>
      <c r="AB133" s="204"/>
      <c r="AC133" s="149" t="s">
        <v>1318</v>
      </c>
      <c r="AD133" s="149" t="s">
        <v>1389</v>
      </c>
      <c r="AE133" s="205" t="s">
        <v>3</v>
      </c>
      <c r="AF133" s="205" t="s">
        <v>1349</v>
      </c>
      <c r="AG133" s="149" t="s">
        <v>1297</v>
      </c>
      <c r="AH133" s="149" t="s">
        <v>6</v>
      </c>
      <c r="AI133" s="150" t="s">
        <v>1307</v>
      </c>
      <c r="AJ133" s="206" t="s">
        <v>1303</v>
      </c>
      <c r="AK133" s="149" t="s">
        <v>4</v>
      </c>
      <c r="AL133" s="149" t="s">
        <v>1304</v>
      </c>
    </row>
    <row r="134" spans="1:35" ht="15">
      <c r="A134" s="135"/>
      <c r="B134" s="139"/>
      <c r="C134" s="207"/>
      <c r="D134" s="208"/>
      <c r="E134" s="136"/>
      <c r="F134" s="136" t="s">
        <v>1294</v>
      </c>
      <c r="G134" s="136"/>
      <c r="H134" s="139" t="s">
        <v>1204</v>
      </c>
      <c r="I134" s="136" t="s">
        <v>1204</v>
      </c>
      <c r="J134" s="136">
        <v>2562</v>
      </c>
      <c r="K134" s="136">
        <v>2563</v>
      </c>
      <c r="L134" s="137">
        <v>2564</v>
      </c>
      <c r="M134" s="138" t="s">
        <v>1537</v>
      </c>
      <c r="N134" s="136" t="s">
        <v>4</v>
      </c>
      <c r="O134" s="138" t="s">
        <v>1538</v>
      </c>
      <c r="P134" s="139" t="s">
        <v>1286</v>
      </c>
      <c r="Q134" s="209" t="s">
        <v>1391</v>
      </c>
      <c r="R134" s="210" t="s">
        <v>5</v>
      </c>
      <c r="S134" s="139" t="s">
        <v>1208</v>
      </c>
      <c r="T134" s="139" t="s">
        <v>5</v>
      </c>
      <c r="U134" s="211" t="s">
        <v>1208</v>
      </c>
      <c r="V134" s="210" t="s">
        <v>5</v>
      </c>
      <c r="W134" s="139" t="s">
        <v>1208</v>
      </c>
      <c r="X134" s="139" t="s">
        <v>5</v>
      </c>
      <c r="Y134" s="211" t="s">
        <v>1208</v>
      </c>
      <c r="Z134" s="207"/>
      <c r="AA134" s="197"/>
      <c r="AB134" s="197"/>
      <c r="AG134" s="149" t="s">
        <v>1494</v>
      </c>
      <c r="AH134" s="149" t="s">
        <v>1207</v>
      </c>
      <c r="AI134" s="150" t="s">
        <v>1308</v>
      </c>
    </row>
    <row r="135" spans="1:36" ht="15">
      <c r="A135" s="140">
        <v>10949</v>
      </c>
      <c r="B135" s="140">
        <v>125</v>
      </c>
      <c r="C135" s="146"/>
      <c r="D135" s="147"/>
      <c r="E135" s="152" t="s">
        <v>1370</v>
      </c>
      <c r="F135" s="140">
        <v>1</v>
      </c>
      <c r="G135" s="146" t="s">
        <v>1257</v>
      </c>
      <c r="H135" s="140">
        <v>450</v>
      </c>
      <c r="I135" s="140" t="s">
        <v>1250</v>
      </c>
      <c r="J135" s="140">
        <v>62</v>
      </c>
      <c r="K135" s="142">
        <v>101</v>
      </c>
      <c r="L135" s="142">
        <v>22.799999999999997</v>
      </c>
      <c r="M135" s="143">
        <v>60</v>
      </c>
      <c r="N135" s="140">
        <v>48</v>
      </c>
      <c r="O135" s="143">
        <f t="shared" si="21"/>
        <v>12</v>
      </c>
      <c r="P135" s="140">
        <v>40</v>
      </c>
      <c r="Q135" s="159">
        <f t="shared" si="23"/>
        <v>480</v>
      </c>
      <c r="R135" s="140">
        <v>0</v>
      </c>
      <c r="S135" s="151">
        <f t="shared" si="24"/>
        <v>0</v>
      </c>
      <c r="T135" s="140">
        <v>0</v>
      </c>
      <c r="U135" s="151">
        <f t="shared" si="25"/>
        <v>0</v>
      </c>
      <c r="V135" s="140">
        <v>12</v>
      </c>
      <c r="W135" s="151">
        <f t="shared" si="26"/>
        <v>480</v>
      </c>
      <c r="X135" s="140">
        <v>0</v>
      </c>
      <c r="Y135" s="151">
        <f t="shared" si="27"/>
        <v>0</v>
      </c>
      <c r="Z135" s="146"/>
      <c r="AA135" s="155">
        <f t="shared" si="28"/>
        <v>12</v>
      </c>
      <c r="AB135" s="155">
        <f t="shared" si="19"/>
        <v>0</v>
      </c>
      <c r="AC135" s="149">
        <f t="shared" si="29"/>
        <v>3</v>
      </c>
      <c r="AD135" s="156">
        <f t="shared" si="31"/>
        <v>120</v>
      </c>
      <c r="AG135" s="149">
        <v>19</v>
      </c>
      <c r="AH135" s="149">
        <v>760</v>
      </c>
      <c r="AI135" s="150" t="s">
        <v>1352</v>
      </c>
      <c r="AJ135" s="206">
        <f t="shared" si="22"/>
        <v>22.799999999999997</v>
      </c>
    </row>
    <row r="136" spans="1:38" ht="15">
      <c r="A136" s="140">
        <v>10949</v>
      </c>
      <c r="B136" s="140">
        <v>126</v>
      </c>
      <c r="C136" s="146"/>
      <c r="D136" s="147"/>
      <c r="E136" s="191" t="s">
        <v>1343</v>
      </c>
      <c r="F136" s="153">
        <v>1</v>
      </c>
      <c r="G136" s="154" t="s">
        <v>1344</v>
      </c>
      <c r="H136" s="140">
        <v>1</v>
      </c>
      <c r="I136" s="140" t="s">
        <v>376</v>
      </c>
      <c r="J136" s="140">
        <v>26</v>
      </c>
      <c r="K136" s="142">
        <v>50</v>
      </c>
      <c r="L136" s="142">
        <v>48</v>
      </c>
      <c r="M136" s="143">
        <v>50</v>
      </c>
      <c r="N136" s="144">
        <v>10</v>
      </c>
      <c r="O136" s="143">
        <f t="shared" si="21"/>
        <v>40</v>
      </c>
      <c r="P136" s="140">
        <v>1829.7</v>
      </c>
      <c r="Q136" s="159">
        <f t="shared" si="23"/>
        <v>73188</v>
      </c>
      <c r="R136" s="140">
        <v>10</v>
      </c>
      <c r="S136" s="151">
        <f t="shared" si="24"/>
        <v>18297</v>
      </c>
      <c r="T136" s="142">
        <v>10</v>
      </c>
      <c r="U136" s="151">
        <f t="shared" si="25"/>
        <v>18297</v>
      </c>
      <c r="V136" s="140">
        <v>10</v>
      </c>
      <c r="W136" s="151">
        <f t="shared" si="26"/>
        <v>18297</v>
      </c>
      <c r="X136" s="142">
        <v>10</v>
      </c>
      <c r="Y136" s="151">
        <f t="shared" si="27"/>
        <v>18297</v>
      </c>
      <c r="Z136" s="146"/>
      <c r="AA136" s="155">
        <f t="shared" si="28"/>
        <v>40</v>
      </c>
      <c r="AB136" s="155">
        <f t="shared" si="19"/>
        <v>0</v>
      </c>
      <c r="AC136" s="149">
        <f t="shared" si="29"/>
        <v>10</v>
      </c>
      <c r="AD136" s="156">
        <f t="shared" si="31"/>
        <v>18297</v>
      </c>
      <c r="AG136" s="149">
        <v>40</v>
      </c>
      <c r="AH136" s="149">
        <v>73188</v>
      </c>
      <c r="AI136" s="150" t="s">
        <v>1352</v>
      </c>
      <c r="AJ136" s="206">
        <f t="shared" si="22"/>
        <v>48</v>
      </c>
      <c r="AL136" s="149">
        <f aca="true" t="shared" si="32" ref="AL136:AL142">AK136/H136</f>
        <v>0</v>
      </c>
    </row>
    <row r="137" spans="1:38" ht="15">
      <c r="A137" s="140">
        <v>10949</v>
      </c>
      <c r="B137" s="140">
        <v>127</v>
      </c>
      <c r="C137" s="146"/>
      <c r="D137" s="147"/>
      <c r="E137" s="152" t="s">
        <v>558</v>
      </c>
      <c r="F137" s="153">
        <v>1</v>
      </c>
      <c r="G137" s="146" t="s">
        <v>1245</v>
      </c>
      <c r="H137" s="140">
        <v>500</v>
      </c>
      <c r="I137" s="140" t="s">
        <v>376</v>
      </c>
      <c r="J137" s="140">
        <f>506*2</f>
        <v>1012</v>
      </c>
      <c r="K137" s="142">
        <f>604*2</f>
        <v>1208</v>
      </c>
      <c r="L137" s="142">
        <v>1240.8000000000002</v>
      </c>
      <c r="M137" s="143">
        <v>1250</v>
      </c>
      <c r="N137" s="144">
        <v>50</v>
      </c>
      <c r="O137" s="143">
        <f aca="true" t="shared" si="33" ref="O137:O202">M137-N137</f>
        <v>1200</v>
      </c>
      <c r="P137" s="160">
        <v>100</v>
      </c>
      <c r="Q137" s="159">
        <f t="shared" si="23"/>
        <v>120000</v>
      </c>
      <c r="R137" s="140">
        <v>300</v>
      </c>
      <c r="S137" s="151">
        <f t="shared" si="24"/>
        <v>30000</v>
      </c>
      <c r="T137" s="142">
        <v>300</v>
      </c>
      <c r="U137" s="151">
        <f t="shared" si="25"/>
        <v>30000</v>
      </c>
      <c r="V137" s="140">
        <v>300</v>
      </c>
      <c r="W137" s="151">
        <f t="shared" si="26"/>
        <v>30000</v>
      </c>
      <c r="X137" s="142">
        <v>300</v>
      </c>
      <c r="Y137" s="151">
        <f t="shared" si="27"/>
        <v>30000</v>
      </c>
      <c r="Z137" s="146"/>
      <c r="AA137" s="155">
        <f t="shared" si="28"/>
        <v>1200</v>
      </c>
      <c r="AB137" s="155">
        <f aca="true" t="shared" si="34" ref="AB137:AB207">O137-AA137</f>
        <v>0</v>
      </c>
      <c r="AC137" s="149">
        <f aca="true" t="shared" si="35" ref="AC137:AC143">O137/4</f>
        <v>300</v>
      </c>
      <c r="AD137" s="156">
        <f aca="true" t="shared" si="36" ref="AD137:AD169">Q137/4</f>
        <v>30000</v>
      </c>
      <c r="AG137" s="149">
        <f>517*2</f>
        <v>1034</v>
      </c>
      <c r="AH137" s="149">
        <v>103400</v>
      </c>
      <c r="AI137" s="150" t="s">
        <v>1355</v>
      </c>
      <c r="AJ137" s="206">
        <f aca="true" t="shared" si="37" ref="AJ137:AJ202">AG137/10*12</f>
        <v>1240.8000000000002</v>
      </c>
      <c r="AL137" s="149">
        <f t="shared" si="32"/>
        <v>0</v>
      </c>
    </row>
    <row r="138" spans="1:38" ht="15">
      <c r="A138" s="140">
        <v>10949</v>
      </c>
      <c r="B138" s="140">
        <v>128</v>
      </c>
      <c r="C138" s="146" t="s">
        <v>796</v>
      </c>
      <c r="D138" s="147" t="s">
        <v>795</v>
      </c>
      <c r="E138" s="191" t="s">
        <v>1298</v>
      </c>
      <c r="F138" s="153">
        <v>1</v>
      </c>
      <c r="G138" s="154" t="s">
        <v>1254</v>
      </c>
      <c r="H138" s="140">
        <v>60</v>
      </c>
      <c r="I138" s="140" t="s">
        <v>1250</v>
      </c>
      <c r="J138" s="140">
        <v>2100</v>
      </c>
      <c r="K138" s="142">
        <v>2470</v>
      </c>
      <c r="L138" s="142">
        <v>2559.6000000000004</v>
      </c>
      <c r="M138" s="143">
        <v>2600</v>
      </c>
      <c r="N138" s="144">
        <v>1000</v>
      </c>
      <c r="O138" s="143">
        <f t="shared" si="33"/>
        <v>1600</v>
      </c>
      <c r="P138" s="140">
        <v>23</v>
      </c>
      <c r="Q138" s="159">
        <f aca="true" t="shared" si="38" ref="Q138:Q204">P138*O138</f>
        <v>36800</v>
      </c>
      <c r="R138" s="140">
        <v>400</v>
      </c>
      <c r="S138" s="151">
        <f t="shared" si="24"/>
        <v>9200</v>
      </c>
      <c r="T138" s="142">
        <v>400</v>
      </c>
      <c r="U138" s="151">
        <f t="shared" si="25"/>
        <v>9200</v>
      </c>
      <c r="V138" s="140">
        <v>400</v>
      </c>
      <c r="W138" s="151">
        <f t="shared" si="26"/>
        <v>9200</v>
      </c>
      <c r="X138" s="142">
        <v>400</v>
      </c>
      <c r="Y138" s="151">
        <f t="shared" si="27"/>
        <v>9200</v>
      </c>
      <c r="Z138" s="146"/>
      <c r="AA138" s="155">
        <f t="shared" si="28"/>
        <v>1600</v>
      </c>
      <c r="AB138" s="155">
        <f t="shared" si="34"/>
        <v>0</v>
      </c>
      <c r="AC138" s="149">
        <f t="shared" si="35"/>
        <v>400</v>
      </c>
      <c r="AD138" s="156">
        <f t="shared" si="36"/>
        <v>9200</v>
      </c>
      <c r="AG138" s="149">
        <v>2133</v>
      </c>
      <c r="AH138" s="149">
        <v>49059</v>
      </c>
      <c r="AI138" s="150" t="s">
        <v>1352</v>
      </c>
      <c r="AJ138" s="206">
        <f t="shared" si="37"/>
        <v>2559.6000000000004</v>
      </c>
      <c r="AL138" s="149">
        <f t="shared" si="32"/>
        <v>0</v>
      </c>
    </row>
    <row r="139" spans="1:38" ht="15">
      <c r="A139" s="140">
        <v>10949</v>
      </c>
      <c r="B139" s="140">
        <v>129</v>
      </c>
      <c r="C139" s="146" t="s">
        <v>794</v>
      </c>
      <c r="D139" s="147" t="s">
        <v>793</v>
      </c>
      <c r="E139" s="191" t="s">
        <v>80</v>
      </c>
      <c r="F139" s="153">
        <v>1</v>
      </c>
      <c r="G139" s="154" t="s">
        <v>1252</v>
      </c>
      <c r="H139" s="140">
        <v>50</v>
      </c>
      <c r="I139" s="140" t="s">
        <v>1253</v>
      </c>
      <c r="J139" s="140">
        <v>15</v>
      </c>
      <c r="K139" s="142">
        <v>17</v>
      </c>
      <c r="L139" s="142">
        <v>30</v>
      </c>
      <c r="M139" s="143">
        <v>30</v>
      </c>
      <c r="N139" s="144">
        <v>6</v>
      </c>
      <c r="O139" s="143">
        <f t="shared" si="33"/>
        <v>24</v>
      </c>
      <c r="P139" s="140">
        <v>200</v>
      </c>
      <c r="Q139" s="159">
        <f t="shared" si="38"/>
        <v>4800</v>
      </c>
      <c r="R139" s="140">
        <v>6</v>
      </c>
      <c r="S139" s="151">
        <f t="shared" si="24"/>
        <v>1200</v>
      </c>
      <c r="T139" s="142">
        <v>6</v>
      </c>
      <c r="U139" s="151">
        <f t="shared" si="25"/>
        <v>1200</v>
      </c>
      <c r="V139" s="140">
        <v>6</v>
      </c>
      <c r="W139" s="151">
        <f t="shared" si="26"/>
        <v>1200</v>
      </c>
      <c r="X139" s="142">
        <v>6</v>
      </c>
      <c r="Y139" s="151">
        <f t="shared" si="27"/>
        <v>1200</v>
      </c>
      <c r="Z139" s="146"/>
      <c r="AA139" s="155">
        <f t="shared" si="28"/>
        <v>24</v>
      </c>
      <c r="AB139" s="155">
        <f t="shared" si="34"/>
        <v>0</v>
      </c>
      <c r="AC139" s="149">
        <f t="shared" si="35"/>
        <v>6</v>
      </c>
      <c r="AD139" s="156">
        <f t="shared" si="36"/>
        <v>1200</v>
      </c>
      <c r="AE139" s="218"/>
      <c r="AF139" s="218"/>
      <c r="AG139" s="149">
        <v>25</v>
      </c>
      <c r="AH139" s="149">
        <v>4750</v>
      </c>
      <c r="AI139" s="150" t="s">
        <v>1352</v>
      </c>
      <c r="AJ139" s="206">
        <f t="shared" si="37"/>
        <v>30</v>
      </c>
      <c r="AL139" s="149">
        <f t="shared" si="32"/>
        <v>0</v>
      </c>
    </row>
    <row r="140" spans="1:38" ht="22.5" customHeight="1">
      <c r="A140" s="140">
        <v>10949</v>
      </c>
      <c r="B140" s="140">
        <v>130</v>
      </c>
      <c r="C140" s="146" t="s">
        <v>798</v>
      </c>
      <c r="D140" s="147" t="s">
        <v>797</v>
      </c>
      <c r="E140" s="192" t="s">
        <v>1299</v>
      </c>
      <c r="F140" s="153">
        <v>1</v>
      </c>
      <c r="G140" s="161" t="s">
        <v>1248</v>
      </c>
      <c r="H140" s="153">
        <v>1</v>
      </c>
      <c r="I140" s="153" t="s">
        <v>389</v>
      </c>
      <c r="J140" s="140">
        <v>0</v>
      </c>
      <c r="K140" s="142">
        <v>0</v>
      </c>
      <c r="L140" s="142">
        <v>0</v>
      </c>
      <c r="M140" s="143">
        <v>0</v>
      </c>
      <c r="N140" s="144">
        <v>0</v>
      </c>
      <c r="O140" s="143">
        <f t="shared" si="33"/>
        <v>0</v>
      </c>
      <c r="P140" s="140">
        <v>1134.2</v>
      </c>
      <c r="Q140" s="159">
        <f t="shared" si="38"/>
        <v>0</v>
      </c>
      <c r="R140" s="140">
        <v>0</v>
      </c>
      <c r="S140" s="151">
        <f aca="true" t="shared" si="39" ref="S140:S210">R140*P140</f>
        <v>0</v>
      </c>
      <c r="T140" s="142">
        <v>0</v>
      </c>
      <c r="U140" s="151">
        <f aca="true" t="shared" si="40" ref="U140:U210">T140*P140</f>
        <v>0</v>
      </c>
      <c r="V140" s="140">
        <v>0</v>
      </c>
      <c r="W140" s="151">
        <f aca="true" t="shared" si="41" ref="W140:W210">V140*P140</f>
        <v>0</v>
      </c>
      <c r="X140" s="142">
        <v>0</v>
      </c>
      <c r="Y140" s="151">
        <f aca="true" t="shared" si="42" ref="Y140:Y210">X140*P140</f>
        <v>0</v>
      </c>
      <c r="Z140" s="146"/>
      <c r="AA140" s="155">
        <f aca="true" t="shared" si="43" ref="AA140:AA210">R140+T140+V140+X140</f>
        <v>0</v>
      </c>
      <c r="AB140" s="155">
        <f t="shared" si="34"/>
        <v>0</v>
      </c>
      <c r="AC140" s="149">
        <f t="shared" si="35"/>
        <v>0</v>
      </c>
      <c r="AD140" s="156">
        <f t="shared" si="36"/>
        <v>0</v>
      </c>
      <c r="AE140" s="218"/>
      <c r="AF140" s="218"/>
      <c r="AJ140" s="206">
        <f t="shared" si="37"/>
        <v>0</v>
      </c>
      <c r="AL140" s="149">
        <f t="shared" si="32"/>
        <v>0</v>
      </c>
    </row>
    <row r="141" spans="1:38" ht="15">
      <c r="A141" s="140">
        <v>10949</v>
      </c>
      <c r="B141" s="140">
        <v>131</v>
      </c>
      <c r="C141" s="146" t="s">
        <v>799</v>
      </c>
      <c r="D141" s="147" t="s">
        <v>797</v>
      </c>
      <c r="E141" s="152" t="s">
        <v>81</v>
      </c>
      <c r="F141" s="153">
        <v>2</v>
      </c>
      <c r="G141" s="146" t="s">
        <v>1252</v>
      </c>
      <c r="H141" s="140">
        <v>500</v>
      </c>
      <c r="I141" s="140" t="s">
        <v>1253</v>
      </c>
      <c r="J141" s="140">
        <v>3</v>
      </c>
      <c r="K141" s="142">
        <v>6</v>
      </c>
      <c r="L141" s="142">
        <v>8.399999999999999</v>
      </c>
      <c r="M141" s="143">
        <v>10</v>
      </c>
      <c r="N141" s="144">
        <v>2</v>
      </c>
      <c r="O141" s="143">
        <f t="shared" si="33"/>
        <v>8</v>
      </c>
      <c r="P141" s="140">
        <v>250</v>
      </c>
      <c r="Q141" s="159">
        <f t="shared" si="38"/>
        <v>2000</v>
      </c>
      <c r="R141" s="140">
        <v>2</v>
      </c>
      <c r="S141" s="151">
        <f t="shared" si="39"/>
        <v>500</v>
      </c>
      <c r="T141" s="142">
        <v>2</v>
      </c>
      <c r="U141" s="151">
        <f t="shared" si="40"/>
        <v>500</v>
      </c>
      <c r="V141" s="140">
        <v>2</v>
      </c>
      <c r="W141" s="151">
        <f t="shared" si="41"/>
        <v>500</v>
      </c>
      <c r="X141" s="142">
        <v>2</v>
      </c>
      <c r="Y141" s="151">
        <f t="shared" si="42"/>
        <v>500</v>
      </c>
      <c r="Z141" s="146"/>
      <c r="AA141" s="155">
        <f t="shared" si="43"/>
        <v>8</v>
      </c>
      <c r="AB141" s="155">
        <f t="shared" si="34"/>
        <v>0</v>
      </c>
      <c r="AC141" s="149">
        <f t="shared" si="35"/>
        <v>2</v>
      </c>
      <c r="AD141" s="156">
        <f t="shared" si="36"/>
        <v>500</v>
      </c>
      <c r="AE141" s="218"/>
      <c r="AF141" s="218"/>
      <c r="AG141" s="149">
        <v>7</v>
      </c>
      <c r="AH141" s="149">
        <v>1750</v>
      </c>
      <c r="AI141" s="150" t="s">
        <v>1354</v>
      </c>
      <c r="AJ141" s="206">
        <f t="shared" si="37"/>
        <v>8.399999999999999</v>
      </c>
      <c r="AL141" s="149">
        <f t="shared" si="32"/>
        <v>0</v>
      </c>
    </row>
    <row r="142" spans="1:38" ht="15">
      <c r="A142" s="140">
        <v>10949</v>
      </c>
      <c r="B142" s="140">
        <v>132</v>
      </c>
      <c r="C142" s="146" t="s">
        <v>801</v>
      </c>
      <c r="D142" s="147" t="s">
        <v>800</v>
      </c>
      <c r="E142" s="191" t="s">
        <v>469</v>
      </c>
      <c r="F142" s="153">
        <v>1</v>
      </c>
      <c r="G142" s="154" t="s">
        <v>1245</v>
      </c>
      <c r="H142" s="144">
        <v>500</v>
      </c>
      <c r="I142" s="144" t="s">
        <v>376</v>
      </c>
      <c r="J142" s="140">
        <v>168</v>
      </c>
      <c r="K142" s="142">
        <v>180</v>
      </c>
      <c r="L142" s="142">
        <v>200.39999999999998</v>
      </c>
      <c r="M142" s="143">
        <v>200</v>
      </c>
      <c r="N142" s="144">
        <v>20</v>
      </c>
      <c r="O142" s="143">
        <f t="shared" si="33"/>
        <v>180</v>
      </c>
      <c r="P142" s="140">
        <v>215</v>
      </c>
      <c r="Q142" s="159">
        <f t="shared" si="38"/>
        <v>38700</v>
      </c>
      <c r="R142" s="140">
        <v>50</v>
      </c>
      <c r="S142" s="151">
        <f t="shared" si="39"/>
        <v>10750</v>
      </c>
      <c r="T142" s="142">
        <v>40</v>
      </c>
      <c r="U142" s="151">
        <f t="shared" si="40"/>
        <v>8600</v>
      </c>
      <c r="V142" s="140">
        <v>50</v>
      </c>
      <c r="W142" s="151">
        <f t="shared" si="41"/>
        <v>10750</v>
      </c>
      <c r="X142" s="142">
        <v>40</v>
      </c>
      <c r="Y142" s="151">
        <f t="shared" si="42"/>
        <v>8600</v>
      </c>
      <c r="Z142" s="146"/>
      <c r="AA142" s="155">
        <f t="shared" si="43"/>
        <v>180</v>
      </c>
      <c r="AB142" s="155">
        <f t="shared" si="34"/>
        <v>0</v>
      </c>
      <c r="AC142" s="149">
        <f t="shared" si="35"/>
        <v>45</v>
      </c>
      <c r="AD142" s="156">
        <f t="shared" si="36"/>
        <v>9675</v>
      </c>
      <c r="AG142" s="149">
        <v>167</v>
      </c>
      <c r="AH142" s="149">
        <v>35905</v>
      </c>
      <c r="AI142" s="150" t="s">
        <v>1356</v>
      </c>
      <c r="AJ142" s="206">
        <f t="shared" si="37"/>
        <v>200.39999999999998</v>
      </c>
      <c r="AL142" s="149">
        <f t="shared" si="32"/>
        <v>0</v>
      </c>
    </row>
    <row r="143" spans="1:36" ht="15">
      <c r="A143" s="140">
        <v>10949</v>
      </c>
      <c r="B143" s="140">
        <v>133</v>
      </c>
      <c r="C143" s="146" t="s">
        <v>803</v>
      </c>
      <c r="D143" s="147" t="s">
        <v>802</v>
      </c>
      <c r="E143" s="152" t="s">
        <v>1371</v>
      </c>
      <c r="F143" s="140">
        <v>1</v>
      </c>
      <c r="G143" s="146" t="s">
        <v>1248</v>
      </c>
      <c r="H143" s="140">
        <v>1</v>
      </c>
      <c r="I143" s="140" t="s">
        <v>389</v>
      </c>
      <c r="J143" s="140">
        <v>70</v>
      </c>
      <c r="K143" s="142">
        <v>110</v>
      </c>
      <c r="L143" s="142">
        <v>108</v>
      </c>
      <c r="M143" s="143">
        <v>110</v>
      </c>
      <c r="N143" s="140">
        <v>0</v>
      </c>
      <c r="O143" s="143">
        <f t="shared" si="33"/>
        <v>110</v>
      </c>
      <c r="P143" s="140">
        <v>203.3</v>
      </c>
      <c r="Q143" s="159">
        <f t="shared" si="38"/>
        <v>22363</v>
      </c>
      <c r="R143" s="140">
        <v>30</v>
      </c>
      <c r="S143" s="151">
        <f t="shared" si="39"/>
        <v>6099</v>
      </c>
      <c r="T143" s="140">
        <v>20</v>
      </c>
      <c r="U143" s="151">
        <f t="shared" si="40"/>
        <v>4066</v>
      </c>
      <c r="V143" s="140">
        <v>30</v>
      </c>
      <c r="W143" s="151">
        <f t="shared" si="41"/>
        <v>6099</v>
      </c>
      <c r="X143" s="140">
        <v>30</v>
      </c>
      <c r="Y143" s="151">
        <f t="shared" si="42"/>
        <v>6099</v>
      </c>
      <c r="Z143" s="146"/>
      <c r="AA143" s="155">
        <f t="shared" si="43"/>
        <v>110</v>
      </c>
      <c r="AB143" s="155">
        <f t="shared" si="34"/>
        <v>0</v>
      </c>
      <c r="AC143" s="149">
        <f t="shared" si="35"/>
        <v>27.5</v>
      </c>
      <c r="AD143" s="156">
        <f t="shared" si="36"/>
        <v>5590.75</v>
      </c>
      <c r="AG143" s="149">
        <v>90</v>
      </c>
      <c r="AH143" s="149">
        <v>18297</v>
      </c>
      <c r="AI143" s="150" t="s">
        <v>1352</v>
      </c>
      <c r="AJ143" s="206">
        <f t="shared" si="37"/>
        <v>108</v>
      </c>
    </row>
    <row r="144" spans="1:38" ht="15">
      <c r="A144" s="140">
        <v>10949</v>
      </c>
      <c r="B144" s="140">
        <v>134</v>
      </c>
      <c r="C144" s="146" t="s">
        <v>805</v>
      </c>
      <c r="D144" s="147" t="s">
        <v>804</v>
      </c>
      <c r="E144" s="191" t="s">
        <v>82</v>
      </c>
      <c r="F144" s="153">
        <v>1</v>
      </c>
      <c r="G144" s="154" t="s">
        <v>1248</v>
      </c>
      <c r="H144" s="140">
        <v>1</v>
      </c>
      <c r="I144" s="140" t="s">
        <v>377</v>
      </c>
      <c r="J144" s="140">
        <v>784</v>
      </c>
      <c r="K144" s="142">
        <v>806</v>
      </c>
      <c r="L144" s="142">
        <v>1064.4</v>
      </c>
      <c r="M144" s="143">
        <v>1000</v>
      </c>
      <c r="N144" s="144">
        <v>100</v>
      </c>
      <c r="O144" s="143">
        <f t="shared" si="33"/>
        <v>900</v>
      </c>
      <c r="P144" s="140">
        <v>27</v>
      </c>
      <c r="Q144" s="159">
        <f t="shared" si="38"/>
        <v>24300</v>
      </c>
      <c r="R144" s="140">
        <v>250</v>
      </c>
      <c r="S144" s="151">
        <f t="shared" si="39"/>
        <v>6750</v>
      </c>
      <c r="T144" s="142">
        <v>200</v>
      </c>
      <c r="U144" s="151">
        <f t="shared" si="40"/>
        <v>5400</v>
      </c>
      <c r="V144" s="140">
        <v>250</v>
      </c>
      <c r="W144" s="151">
        <f t="shared" si="41"/>
        <v>6750</v>
      </c>
      <c r="X144" s="142">
        <v>200</v>
      </c>
      <c r="Y144" s="151">
        <f t="shared" si="42"/>
        <v>5400</v>
      </c>
      <c r="Z144" s="146"/>
      <c r="AA144" s="155">
        <f t="shared" si="43"/>
        <v>900</v>
      </c>
      <c r="AB144" s="155">
        <f t="shared" si="34"/>
        <v>0</v>
      </c>
      <c r="AC144" s="149">
        <f aca="true" t="shared" si="44" ref="AC144:AC151">O144/4</f>
        <v>225</v>
      </c>
      <c r="AD144" s="156">
        <f t="shared" si="36"/>
        <v>6075</v>
      </c>
      <c r="AG144" s="149">
        <v>887</v>
      </c>
      <c r="AH144" s="149">
        <v>23949</v>
      </c>
      <c r="AI144" s="150" t="s">
        <v>1356</v>
      </c>
      <c r="AJ144" s="206">
        <f t="shared" si="37"/>
        <v>1064.4</v>
      </c>
      <c r="AL144" s="149">
        <f aca="true" t="shared" si="45" ref="AL144:AL150">AK144/H144</f>
        <v>0</v>
      </c>
    </row>
    <row r="145" spans="1:38" ht="15">
      <c r="A145" s="140">
        <v>10949</v>
      </c>
      <c r="B145" s="140">
        <v>135</v>
      </c>
      <c r="C145" s="146" t="s">
        <v>807</v>
      </c>
      <c r="D145" s="147" t="s">
        <v>806</v>
      </c>
      <c r="E145" s="191" t="s">
        <v>83</v>
      </c>
      <c r="F145" s="153">
        <v>1</v>
      </c>
      <c r="G145" s="154" t="s">
        <v>1245</v>
      </c>
      <c r="H145" s="140">
        <v>1000</v>
      </c>
      <c r="I145" s="140" t="s">
        <v>376</v>
      </c>
      <c r="J145" s="140">
        <v>354</v>
      </c>
      <c r="K145" s="142">
        <v>433</v>
      </c>
      <c r="L145" s="142">
        <v>351.6</v>
      </c>
      <c r="M145" s="143">
        <v>400</v>
      </c>
      <c r="N145" s="144">
        <v>40</v>
      </c>
      <c r="O145" s="143">
        <f t="shared" si="33"/>
        <v>360</v>
      </c>
      <c r="P145" s="140">
        <v>200</v>
      </c>
      <c r="Q145" s="159">
        <f t="shared" si="38"/>
        <v>72000</v>
      </c>
      <c r="R145" s="140">
        <v>90</v>
      </c>
      <c r="S145" s="151">
        <f t="shared" si="39"/>
        <v>18000</v>
      </c>
      <c r="T145" s="142">
        <v>90</v>
      </c>
      <c r="U145" s="151">
        <f t="shared" si="40"/>
        <v>18000</v>
      </c>
      <c r="V145" s="140">
        <v>90</v>
      </c>
      <c r="W145" s="151">
        <f t="shared" si="41"/>
        <v>18000</v>
      </c>
      <c r="X145" s="142">
        <v>90</v>
      </c>
      <c r="Y145" s="151">
        <f t="shared" si="42"/>
        <v>18000</v>
      </c>
      <c r="Z145" s="146"/>
      <c r="AA145" s="155">
        <f t="shared" si="43"/>
        <v>360</v>
      </c>
      <c r="AB145" s="155">
        <f t="shared" si="34"/>
        <v>0</v>
      </c>
      <c r="AC145" s="149">
        <f t="shared" si="44"/>
        <v>90</v>
      </c>
      <c r="AD145" s="156">
        <f t="shared" si="36"/>
        <v>18000</v>
      </c>
      <c r="AG145" s="149">
        <v>293</v>
      </c>
      <c r="AH145" s="149">
        <v>58320</v>
      </c>
      <c r="AI145" s="150" t="s">
        <v>1356</v>
      </c>
      <c r="AJ145" s="206">
        <f t="shared" si="37"/>
        <v>351.6</v>
      </c>
      <c r="AL145" s="149">
        <f t="shared" si="45"/>
        <v>0</v>
      </c>
    </row>
    <row r="146" spans="1:38" ht="15">
      <c r="A146" s="140">
        <v>10949</v>
      </c>
      <c r="B146" s="140">
        <v>136</v>
      </c>
      <c r="C146" s="146" t="s">
        <v>809</v>
      </c>
      <c r="D146" s="147" t="s">
        <v>808</v>
      </c>
      <c r="E146" s="152" t="s">
        <v>84</v>
      </c>
      <c r="F146" s="153">
        <v>2</v>
      </c>
      <c r="G146" s="146" t="s">
        <v>1257</v>
      </c>
      <c r="H146" s="140">
        <v>450</v>
      </c>
      <c r="I146" s="140" t="s">
        <v>1250</v>
      </c>
      <c r="J146" s="140">
        <v>78</v>
      </c>
      <c r="K146" s="142">
        <v>54</v>
      </c>
      <c r="L146" s="142">
        <v>39.599999999999994</v>
      </c>
      <c r="M146" s="143">
        <v>60</v>
      </c>
      <c r="N146" s="144">
        <v>12</v>
      </c>
      <c r="O146" s="143">
        <f t="shared" si="33"/>
        <v>48</v>
      </c>
      <c r="P146" s="140">
        <v>32.1</v>
      </c>
      <c r="Q146" s="159">
        <f t="shared" si="38"/>
        <v>1540.8000000000002</v>
      </c>
      <c r="R146" s="140">
        <v>12</v>
      </c>
      <c r="S146" s="151">
        <f t="shared" si="39"/>
        <v>385.20000000000005</v>
      </c>
      <c r="T146" s="142">
        <v>12</v>
      </c>
      <c r="U146" s="151">
        <f t="shared" si="40"/>
        <v>385.20000000000005</v>
      </c>
      <c r="V146" s="140">
        <v>12</v>
      </c>
      <c r="W146" s="151">
        <f t="shared" si="41"/>
        <v>385.20000000000005</v>
      </c>
      <c r="X146" s="142">
        <v>12</v>
      </c>
      <c r="Y146" s="151">
        <f t="shared" si="42"/>
        <v>385.20000000000005</v>
      </c>
      <c r="Z146" s="146"/>
      <c r="AA146" s="155">
        <f t="shared" si="43"/>
        <v>48</v>
      </c>
      <c r="AB146" s="155">
        <f t="shared" si="34"/>
        <v>0</v>
      </c>
      <c r="AC146" s="149">
        <f t="shared" si="44"/>
        <v>12</v>
      </c>
      <c r="AD146" s="156">
        <f t="shared" si="36"/>
        <v>385.20000000000005</v>
      </c>
      <c r="AG146" s="149">
        <v>33</v>
      </c>
      <c r="AH146" s="149">
        <v>1059.3000000000002</v>
      </c>
      <c r="AI146" s="150" t="s">
        <v>1354</v>
      </c>
      <c r="AJ146" s="206">
        <f t="shared" si="37"/>
        <v>39.599999999999994</v>
      </c>
      <c r="AL146" s="149">
        <f t="shared" si="45"/>
        <v>0</v>
      </c>
    </row>
    <row r="147" spans="1:38" ht="15">
      <c r="A147" s="140">
        <v>10949</v>
      </c>
      <c r="B147" s="140">
        <v>137</v>
      </c>
      <c r="C147" s="146" t="s">
        <v>811</v>
      </c>
      <c r="D147" s="147" t="s">
        <v>810</v>
      </c>
      <c r="E147" s="191" t="s">
        <v>85</v>
      </c>
      <c r="F147" s="153">
        <v>1</v>
      </c>
      <c r="G147" s="154" t="s">
        <v>1248</v>
      </c>
      <c r="H147" s="140">
        <v>1</v>
      </c>
      <c r="I147" s="140" t="s">
        <v>392</v>
      </c>
      <c r="J147" s="140">
        <v>260</v>
      </c>
      <c r="K147" s="142">
        <v>1060</v>
      </c>
      <c r="L147" s="142">
        <v>1176</v>
      </c>
      <c r="M147" s="143">
        <v>1300</v>
      </c>
      <c r="N147" s="144">
        <v>100</v>
      </c>
      <c r="O147" s="143">
        <f t="shared" si="33"/>
        <v>1200</v>
      </c>
      <c r="P147" s="157">
        <v>35</v>
      </c>
      <c r="Q147" s="159">
        <f t="shared" si="38"/>
        <v>42000</v>
      </c>
      <c r="R147" s="140">
        <v>300</v>
      </c>
      <c r="S147" s="151">
        <f t="shared" si="39"/>
        <v>10500</v>
      </c>
      <c r="T147" s="142">
        <v>300</v>
      </c>
      <c r="U147" s="151">
        <f t="shared" si="40"/>
        <v>10500</v>
      </c>
      <c r="V147" s="140">
        <v>300</v>
      </c>
      <c r="W147" s="151">
        <f t="shared" si="41"/>
        <v>10500</v>
      </c>
      <c r="X147" s="142">
        <v>300</v>
      </c>
      <c r="Y147" s="151">
        <f t="shared" si="42"/>
        <v>10500</v>
      </c>
      <c r="Z147" s="146"/>
      <c r="AA147" s="155">
        <f t="shared" si="43"/>
        <v>1200</v>
      </c>
      <c r="AB147" s="155">
        <f t="shared" si="34"/>
        <v>0</v>
      </c>
      <c r="AC147" s="149">
        <f t="shared" si="44"/>
        <v>300</v>
      </c>
      <c r="AD147" s="156">
        <f t="shared" si="36"/>
        <v>10500</v>
      </c>
      <c r="AG147" s="149">
        <v>980</v>
      </c>
      <c r="AH147" s="149">
        <v>31720</v>
      </c>
      <c r="AI147" s="150" t="s">
        <v>1300</v>
      </c>
      <c r="AJ147" s="206">
        <f t="shared" si="37"/>
        <v>1176</v>
      </c>
      <c r="AL147" s="149">
        <f t="shared" si="45"/>
        <v>0</v>
      </c>
    </row>
    <row r="148" spans="1:38" ht="15">
      <c r="A148" s="140">
        <v>10949</v>
      </c>
      <c r="B148" s="140">
        <v>138</v>
      </c>
      <c r="C148" s="212">
        <v>872775</v>
      </c>
      <c r="D148" s="219" t="s">
        <v>1223</v>
      </c>
      <c r="E148" s="191" t="s">
        <v>87</v>
      </c>
      <c r="F148" s="153">
        <v>1</v>
      </c>
      <c r="G148" s="154" t="s">
        <v>1245</v>
      </c>
      <c r="H148" s="140">
        <v>500</v>
      </c>
      <c r="I148" s="140" t="s">
        <v>376</v>
      </c>
      <c r="J148" s="140">
        <v>29</v>
      </c>
      <c r="K148" s="142">
        <v>79</v>
      </c>
      <c r="L148" s="142">
        <v>42</v>
      </c>
      <c r="M148" s="143">
        <v>53</v>
      </c>
      <c r="N148" s="144">
        <v>13</v>
      </c>
      <c r="O148" s="143">
        <f t="shared" si="33"/>
        <v>40</v>
      </c>
      <c r="P148" s="140">
        <v>139.1</v>
      </c>
      <c r="Q148" s="159">
        <f t="shared" si="38"/>
        <v>5564</v>
      </c>
      <c r="R148" s="140">
        <v>10</v>
      </c>
      <c r="S148" s="151">
        <f t="shared" si="39"/>
        <v>1391</v>
      </c>
      <c r="T148" s="142">
        <v>10</v>
      </c>
      <c r="U148" s="151">
        <f t="shared" si="40"/>
        <v>1391</v>
      </c>
      <c r="V148" s="140">
        <v>10</v>
      </c>
      <c r="W148" s="151">
        <f t="shared" si="41"/>
        <v>1391</v>
      </c>
      <c r="X148" s="142">
        <v>10</v>
      </c>
      <c r="Y148" s="151">
        <f t="shared" si="42"/>
        <v>1391</v>
      </c>
      <c r="Z148" s="146"/>
      <c r="AA148" s="155">
        <f t="shared" si="43"/>
        <v>40</v>
      </c>
      <c r="AB148" s="155">
        <f t="shared" si="34"/>
        <v>0</v>
      </c>
      <c r="AC148" s="149">
        <f t="shared" si="44"/>
        <v>10</v>
      </c>
      <c r="AD148" s="156">
        <f t="shared" si="36"/>
        <v>1391</v>
      </c>
      <c r="AG148" s="149">
        <v>35</v>
      </c>
      <c r="AH148" s="149">
        <v>4868.499999999999</v>
      </c>
      <c r="AI148" s="150" t="s">
        <v>1352</v>
      </c>
      <c r="AJ148" s="206">
        <f t="shared" si="37"/>
        <v>42</v>
      </c>
      <c r="AL148" s="149">
        <f t="shared" si="45"/>
        <v>0</v>
      </c>
    </row>
    <row r="149" spans="1:38" ht="15">
      <c r="A149" s="140">
        <v>10949</v>
      </c>
      <c r="B149" s="140">
        <v>139</v>
      </c>
      <c r="C149" s="146"/>
      <c r="D149" s="147"/>
      <c r="E149" s="191" t="s">
        <v>474</v>
      </c>
      <c r="F149" s="153">
        <v>1</v>
      </c>
      <c r="G149" s="154" t="s">
        <v>1245</v>
      </c>
      <c r="H149" s="140">
        <v>100</v>
      </c>
      <c r="I149" s="140" t="s">
        <v>376</v>
      </c>
      <c r="J149" s="140">
        <v>9</v>
      </c>
      <c r="K149" s="142">
        <v>17</v>
      </c>
      <c r="L149" s="142">
        <v>36</v>
      </c>
      <c r="M149" s="143">
        <v>40</v>
      </c>
      <c r="N149" s="144">
        <v>4</v>
      </c>
      <c r="O149" s="143">
        <f t="shared" si="33"/>
        <v>36</v>
      </c>
      <c r="P149" s="159">
        <v>200</v>
      </c>
      <c r="Q149" s="159">
        <f t="shared" si="38"/>
        <v>7200</v>
      </c>
      <c r="R149" s="140">
        <v>10</v>
      </c>
      <c r="S149" s="151">
        <f t="shared" si="39"/>
        <v>2000</v>
      </c>
      <c r="T149" s="142">
        <v>10</v>
      </c>
      <c r="U149" s="151">
        <f t="shared" si="40"/>
        <v>2000</v>
      </c>
      <c r="V149" s="140">
        <v>10</v>
      </c>
      <c r="W149" s="151">
        <f t="shared" si="41"/>
        <v>2000</v>
      </c>
      <c r="X149" s="142">
        <v>6</v>
      </c>
      <c r="Y149" s="151">
        <f t="shared" si="42"/>
        <v>1200</v>
      </c>
      <c r="Z149" s="146"/>
      <c r="AA149" s="155">
        <f t="shared" si="43"/>
        <v>36</v>
      </c>
      <c r="AB149" s="155">
        <f t="shared" si="34"/>
        <v>0</v>
      </c>
      <c r="AC149" s="149">
        <f t="shared" si="44"/>
        <v>9</v>
      </c>
      <c r="AD149" s="156">
        <f t="shared" si="36"/>
        <v>1800</v>
      </c>
      <c r="AG149" s="149">
        <v>30</v>
      </c>
      <c r="AH149" s="149">
        <v>6000</v>
      </c>
      <c r="AI149" s="150" t="s">
        <v>1352</v>
      </c>
      <c r="AJ149" s="206">
        <f t="shared" si="37"/>
        <v>36</v>
      </c>
      <c r="AL149" s="149">
        <f t="shared" si="45"/>
        <v>0</v>
      </c>
    </row>
    <row r="150" spans="1:38" ht="15">
      <c r="A150" s="140">
        <v>10949</v>
      </c>
      <c r="B150" s="140">
        <v>140</v>
      </c>
      <c r="C150" s="212"/>
      <c r="D150" s="219"/>
      <c r="E150" s="191" t="s">
        <v>86</v>
      </c>
      <c r="F150" s="153">
        <v>1</v>
      </c>
      <c r="G150" s="154" t="s">
        <v>1248</v>
      </c>
      <c r="H150" s="140">
        <v>1</v>
      </c>
      <c r="I150" s="140" t="s">
        <v>389</v>
      </c>
      <c r="J150" s="140">
        <v>1500</v>
      </c>
      <c r="K150" s="142">
        <v>2750</v>
      </c>
      <c r="L150" s="142">
        <v>3600</v>
      </c>
      <c r="M150" s="143">
        <v>4000</v>
      </c>
      <c r="N150" s="144">
        <v>200</v>
      </c>
      <c r="O150" s="143">
        <f t="shared" si="33"/>
        <v>3800</v>
      </c>
      <c r="P150" s="140">
        <v>5.35</v>
      </c>
      <c r="Q150" s="159">
        <f t="shared" si="38"/>
        <v>20330</v>
      </c>
      <c r="R150" s="140">
        <v>1000</v>
      </c>
      <c r="S150" s="151">
        <f t="shared" si="39"/>
        <v>5350</v>
      </c>
      <c r="T150" s="142">
        <v>1000</v>
      </c>
      <c r="U150" s="151">
        <f t="shared" si="40"/>
        <v>5350</v>
      </c>
      <c r="V150" s="140">
        <v>1000</v>
      </c>
      <c r="W150" s="151">
        <f t="shared" si="41"/>
        <v>5350</v>
      </c>
      <c r="X150" s="142">
        <v>800</v>
      </c>
      <c r="Y150" s="151">
        <f t="shared" si="42"/>
        <v>4280</v>
      </c>
      <c r="Z150" s="146"/>
      <c r="AA150" s="155">
        <f t="shared" si="43"/>
        <v>3800</v>
      </c>
      <c r="AB150" s="155">
        <f t="shared" si="34"/>
        <v>0</v>
      </c>
      <c r="AC150" s="149">
        <f t="shared" si="44"/>
        <v>950</v>
      </c>
      <c r="AD150" s="156">
        <f t="shared" si="36"/>
        <v>5082.5</v>
      </c>
      <c r="AG150" s="149">
        <v>3000</v>
      </c>
      <c r="AH150" s="149">
        <v>16050</v>
      </c>
      <c r="AI150" s="150" t="s">
        <v>1300</v>
      </c>
      <c r="AJ150" s="206">
        <f t="shared" si="37"/>
        <v>3600</v>
      </c>
      <c r="AL150" s="149">
        <f t="shared" si="45"/>
        <v>0</v>
      </c>
    </row>
    <row r="151" spans="1:36" ht="15">
      <c r="A151" s="140">
        <v>10949</v>
      </c>
      <c r="B151" s="140">
        <v>141</v>
      </c>
      <c r="C151" s="146" t="s">
        <v>813</v>
      </c>
      <c r="D151" s="147" t="s">
        <v>812</v>
      </c>
      <c r="E151" s="152" t="s">
        <v>1372</v>
      </c>
      <c r="F151" s="140">
        <v>1</v>
      </c>
      <c r="G151" s="146" t="s">
        <v>1252</v>
      </c>
      <c r="H151" s="140">
        <v>100</v>
      </c>
      <c r="I151" s="140" t="s">
        <v>376</v>
      </c>
      <c r="J151" s="140">
        <v>30</v>
      </c>
      <c r="K151" s="142">
        <v>17</v>
      </c>
      <c r="L151" s="142">
        <v>92.4</v>
      </c>
      <c r="M151" s="143">
        <v>100</v>
      </c>
      <c r="N151" s="140">
        <v>0</v>
      </c>
      <c r="O151" s="143">
        <f t="shared" si="33"/>
        <v>100</v>
      </c>
      <c r="P151" s="140">
        <v>240</v>
      </c>
      <c r="Q151" s="159">
        <f t="shared" si="38"/>
        <v>24000</v>
      </c>
      <c r="R151" s="140">
        <v>25</v>
      </c>
      <c r="S151" s="151">
        <f t="shared" si="39"/>
        <v>6000</v>
      </c>
      <c r="T151" s="140">
        <v>25</v>
      </c>
      <c r="U151" s="151">
        <f t="shared" si="40"/>
        <v>6000</v>
      </c>
      <c r="V151" s="140">
        <v>25</v>
      </c>
      <c r="W151" s="151">
        <f t="shared" si="41"/>
        <v>6000</v>
      </c>
      <c r="X151" s="140">
        <v>25</v>
      </c>
      <c r="Y151" s="151">
        <f t="shared" si="42"/>
        <v>6000</v>
      </c>
      <c r="Z151" s="146"/>
      <c r="AA151" s="155">
        <f t="shared" si="43"/>
        <v>100</v>
      </c>
      <c r="AB151" s="155">
        <f t="shared" si="34"/>
        <v>0</v>
      </c>
      <c r="AC151" s="149">
        <f t="shared" si="44"/>
        <v>25</v>
      </c>
      <c r="AD151" s="156">
        <f t="shared" si="36"/>
        <v>6000</v>
      </c>
      <c r="AG151" s="149">
        <v>77</v>
      </c>
      <c r="AH151" s="149">
        <v>15520</v>
      </c>
      <c r="AI151" s="150" t="s">
        <v>1352</v>
      </c>
      <c r="AJ151" s="206">
        <f t="shared" si="37"/>
        <v>92.4</v>
      </c>
    </row>
    <row r="152" spans="1:38" ht="15">
      <c r="A152" s="140">
        <v>10949</v>
      </c>
      <c r="B152" s="140">
        <v>142</v>
      </c>
      <c r="C152" s="146">
        <v>797196</v>
      </c>
      <c r="D152" s="147" t="s">
        <v>1327</v>
      </c>
      <c r="E152" s="152" t="s">
        <v>451</v>
      </c>
      <c r="F152" s="153">
        <v>1</v>
      </c>
      <c r="G152" s="146" t="s">
        <v>1252</v>
      </c>
      <c r="H152" s="140">
        <v>100</v>
      </c>
      <c r="I152" s="140" t="s">
        <v>1253</v>
      </c>
      <c r="J152" s="140">
        <v>480</v>
      </c>
      <c r="K152" s="142">
        <f>104*5</f>
        <v>520</v>
      </c>
      <c r="L152" s="142">
        <v>151.2</v>
      </c>
      <c r="M152" s="143">
        <v>400</v>
      </c>
      <c r="N152" s="144">
        <v>0</v>
      </c>
      <c r="O152" s="143">
        <f t="shared" si="33"/>
        <v>400</v>
      </c>
      <c r="P152" s="159">
        <v>70</v>
      </c>
      <c r="Q152" s="159">
        <f t="shared" si="38"/>
        <v>28000</v>
      </c>
      <c r="R152" s="140">
        <v>100</v>
      </c>
      <c r="S152" s="151">
        <f t="shared" si="39"/>
        <v>7000</v>
      </c>
      <c r="T152" s="142">
        <v>100</v>
      </c>
      <c r="U152" s="151">
        <f t="shared" si="40"/>
        <v>7000</v>
      </c>
      <c r="V152" s="140">
        <v>100</v>
      </c>
      <c r="W152" s="151">
        <f t="shared" si="41"/>
        <v>7000</v>
      </c>
      <c r="X152" s="142">
        <v>100</v>
      </c>
      <c r="Y152" s="151">
        <f t="shared" si="42"/>
        <v>7000</v>
      </c>
      <c r="Z152" s="146"/>
      <c r="AA152" s="155">
        <f t="shared" si="43"/>
        <v>400</v>
      </c>
      <c r="AB152" s="155">
        <f t="shared" si="34"/>
        <v>0</v>
      </c>
      <c r="AC152" s="149">
        <f aca="true" t="shared" si="46" ref="AC152:AC193">O152/4</f>
        <v>100</v>
      </c>
      <c r="AD152" s="156">
        <f t="shared" si="36"/>
        <v>7000</v>
      </c>
      <c r="AE152" s="218"/>
      <c r="AF152" s="218"/>
      <c r="AG152" s="149">
        <v>126</v>
      </c>
      <c r="AH152" s="149">
        <v>44100</v>
      </c>
      <c r="AI152" s="150" t="s">
        <v>1355</v>
      </c>
      <c r="AJ152" s="206">
        <f t="shared" si="37"/>
        <v>151.2</v>
      </c>
      <c r="AL152" s="149">
        <f aca="true" t="shared" si="47" ref="AL152:AL194">AK152/H152</f>
        <v>0</v>
      </c>
    </row>
    <row r="153" spans="1:38" ht="15">
      <c r="A153" s="140">
        <v>10949</v>
      </c>
      <c r="B153" s="140">
        <v>143</v>
      </c>
      <c r="C153" s="146" t="s">
        <v>815</v>
      </c>
      <c r="D153" s="147" t="s">
        <v>814</v>
      </c>
      <c r="E153" s="191" t="s">
        <v>88</v>
      </c>
      <c r="F153" s="153">
        <v>1</v>
      </c>
      <c r="G153" s="154" t="s">
        <v>1248</v>
      </c>
      <c r="H153" s="140">
        <v>1</v>
      </c>
      <c r="I153" s="140" t="s">
        <v>389</v>
      </c>
      <c r="J153" s="140">
        <v>370</v>
      </c>
      <c r="K153" s="142">
        <v>282</v>
      </c>
      <c r="L153" s="142">
        <v>268.79999999999995</v>
      </c>
      <c r="M153" s="143">
        <v>320</v>
      </c>
      <c r="N153" s="144">
        <v>374</v>
      </c>
      <c r="O153" s="143">
        <v>0</v>
      </c>
      <c r="P153" s="140">
        <v>5.35</v>
      </c>
      <c r="Q153" s="159">
        <f t="shared" si="38"/>
        <v>0</v>
      </c>
      <c r="R153" s="140">
        <v>0</v>
      </c>
      <c r="S153" s="151">
        <f t="shared" si="39"/>
        <v>0</v>
      </c>
      <c r="T153" s="142">
        <v>0</v>
      </c>
      <c r="U153" s="151">
        <f t="shared" si="40"/>
        <v>0</v>
      </c>
      <c r="V153" s="140">
        <v>0</v>
      </c>
      <c r="W153" s="151">
        <f t="shared" si="41"/>
        <v>0</v>
      </c>
      <c r="X153" s="142">
        <v>0</v>
      </c>
      <c r="Y153" s="151">
        <f t="shared" si="42"/>
        <v>0</v>
      </c>
      <c r="Z153" s="146"/>
      <c r="AA153" s="155">
        <f t="shared" si="43"/>
        <v>0</v>
      </c>
      <c r="AB153" s="155">
        <f t="shared" si="34"/>
        <v>0</v>
      </c>
      <c r="AC153" s="149">
        <f t="shared" si="46"/>
        <v>0</v>
      </c>
      <c r="AD153" s="156">
        <f t="shared" si="36"/>
        <v>0</v>
      </c>
      <c r="AE153" s="218"/>
      <c r="AF153" s="218"/>
      <c r="AG153" s="149">
        <v>224</v>
      </c>
      <c r="AH153" s="149">
        <v>966.08</v>
      </c>
      <c r="AI153" s="150" t="s">
        <v>1352</v>
      </c>
      <c r="AJ153" s="206">
        <f t="shared" si="37"/>
        <v>268.79999999999995</v>
      </c>
      <c r="AL153" s="149">
        <f t="shared" si="47"/>
        <v>0</v>
      </c>
    </row>
    <row r="154" spans="1:38" ht="20.25" customHeight="1">
      <c r="A154" s="140">
        <v>10949</v>
      </c>
      <c r="B154" s="140">
        <v>144</v>
      </c>
      <c r="C154" s="146">
        <v>782053</v>
      </c>
      <c r="D154" s="147" t="s">
        <v>1328</v>
      </c>
      <c r="E154" s="191" t="s">
        <v>89</v>
      </c>
      <c r="F154" s="153">
        <v>1</v>
      </c>
      <c r="G154" s="154" t="s">
        <v>1257</v>
      </c>
      <c r="H154" s="140">
        <v>30</v>
      </c>
      <c r="I154" s="140" t="s">
        <v>1250</v>
      </c>
      <c r="J154" s="140">
        <v>175</v>
      </c>
      <c r="K154" s="142">
        <v>157</v>
      </c>
      <c r="L154" s="142">
        <v>172.8</v>
      </c>
      <c r="M154" s="143">
        <v>180</v>
      </c>
      <c r="N154" s="144">
        <v>12</v>
      </c>
      <c r="O154" s="143">
        <f t="shared" si="33"/>
        <v>168</v>
      </c>
      <c r="P154" s="164">
        <v>9</v>
      </c>
      <c r="Q154" s="159">
        <f t="shared" si="38"/>
        <v>1512</v>
      </c>
      <c r="R154" s="140">
        <v>0</v>
      </c>
      <c r="S154" s="151">
        <f t="shared" si="39"/>
        <v>0</v>
      </c>
      <c r="T154" s="142">
        <v>0</v>
      </c>
      <c r="U154" s="151">
        <f t="shared" si="40"/>
        <v>0</v>
      </c>
      <c r="V154" s="140">
        <v>168</v>
      </c>
      <c r="W154" s="151">
        <f t="shared" si="41"/>
        <v>1512</v>
      </c>
      <c r="X154" s="142">
        <v>0</v>
      </c>
      <c r="Y154" s="151">
        <f t="shared" si="42"/>
        <v>0</v>
      </c>
      <c r="Z154" s="146"/>
      <c r="AA154" s="155">
        <f t="shared" si="43"/>
        <v>168</v>
      </c>
      <c r="AB154" s="155">
        <f t="shared" si="34"/>
        <v>0</v>
      </c>
      <c r="AC154" s="149">
        <f t="shared" si="46"/>
        <v>42</v>
      </c>
      <c r="AD154" s="156">
        <f t="shared" si="36"/>
        <v>378</v>
      </c>
      <c r="AE154" s="218"/>
      <c r="AF154" s="218"/>
      <c r="AG154" s="149">
        <v>144</v>
      </c>
      <c r="AH154" s="149">
        <v>1296</v>
      </c>
      <c r="AI154" s="150" t="s">
        <v>1352</v>
      </c>
      <c r="AJ154" s="206">
        <f t="shared" si="37"/>
        <v>172.8</v>
      </c>
      <c r="AL154" s="149">
        <f t="shared" si="47"/>
        <v>0</v>
      </c>
    </row>
    <row r="155" spans="1:38" ht="15">
      <c r="A155" s="140">
        <v>10949</v>
      </c>
      <c r="B155" s="140">
        <v>145</v>
      </c>
      <c r="C155" s="146" t="s">
        <v>817</v>
      </c>
      <c r="D155" s="147" t="s">
        <v>816</v>
      </c>
      <c r="E155" s="152" t="s">
        <v>495</v>
      </c>
      <c r="F155" s="153">
        <v>1</v>
      </c>
      <c r="G155" s="146" t="s">
        <v>1245</v>
      </c>
      <c r="H155" s="140">
        <v>500</v>
      </c>
      <c r="I155" s="140" t="s">
        <v>376</v>
      </c>
      <c r="J155" s="140">
        <v>3351</v>
      </c>
      <c r="K155" s="142">
        <v>3471</v>
      </c>
      <c r="L155" s="142">
        <v>3656.3999999999996</v>
      </c>
      <c r="M155" s="143">
        <v>4000</v>
      </c>
      <c r="N155" s="144">
        <v>400</v>
      </c>
      <c r="O155" s="143">
        <f t="shared" si="33"/>
        <v>3600</v>
      </c>
      <c r="P155" s="140">
        <v>115</v>
      </c>
      <c r="Q155" s="159">
        <f t="shared" si="38"/>
        <v>414000</v>
      </c>
      <c r="R155" s="140">
        <v>900</v>
      </c>
      <c r="S155" s="151">
        <f t="shared" si="39"/>
        <v>103500</v>
      </c>
      <c r="T155" s="142">
        <v>900</v>
      </c>
      <c r="U155" s="151">
        <f t="shared" si="40"/>
        <v>103500</v>
      </c>
      <c r="V155" s="140">
        <v>900</v>
      </c>
      <c r="W155" s="151">
        <f t="shared" si="41"/>
        <v>103500</v>
      </c>
      <c r="X155" s="142">
        <v>900</v>
      </c>
      <c r="Y155" s="151">
        <f t="shared" si="42"/>
        <v>103500</v>
      </c>
      <c r="Z155" s="146"/>
      <c r="AA155" s="155">
        <f t="shared" si="43"/>
        <v>3600</v>
      </c>
      <c r="AB155" s="155">
        <f t="shared" si="34"/>
        <v>0</v>
      </c>
      <c r="AC155" s="149">
        <f t="shared" si="46"/>
        <v>900</v>
      </c>
      <c r="AD155" s="156">
        <f t="shared" si="36"/>
        <v>103500</v>
      </c>
      <c r="AG155" s="149">
        <v>3047</v>
      </c>
      <c r="AH155" s="149">
        <v>308455</v>
      </c>
      <c r="AI155" s="150" t="s">
        <v>1356</v>
      </c>
      <c r="AJ155" s="206">
        <f t="shared" si="37"/>
        <v>3656.3999999999996</v>
      </c>
      <c r="AL155" s="149">
        <f t="shared" si="47"/>
        <v>0</v>
      </c>
    </row>
    <row r="156" spans="1:38" ht="15">
      <c r="A156" s="140">
        <v>10949</v>
      </c>
      <c r="B156" s="140">
        <v>146</v>
      </c>
      <c r="C156" s="146"/>
      <c r="D156" s="147"/>
      <c r="E156" s="191" t="s">
        <v>90</v>
      </c>
      <c r="F156" s="153">
        <v>1</v>
      </c>
      <c r="G156" s="154" t="s">
        <v>1248</v>
      </c>
      <c r="H156" s="140">
        <v>1</v>
      </c>
      <c r="I156" s="140" t="s">
        <v>388</v>
      </c>
      <c r="J156" s="140">
        <v>151</v>
      </c>
      <c r="K156" s="142">
        <v>203</v>
      </c>
      <c r="L156" s="142">
        <v>224.39999999999998</v>
      </c>
      <c r="M156" s="143">
        <v>250</v>
      </c>
      <c r="N156" s="144">
        <v>50</v>
      </c>
      <c r="O156" s="143">
        <f t="shared" si="33"/>
        <v>200</v>
      </c>
      <c r="P156" s="140">
        <v>33</v>
      </c>
      <c r="Q156" s="159">
        <f t="shared" si="38"/>
        <v>6600</v>
      </c>
      <c r="R156" s="140">
        <v>50</v>
      </c>
      <c r="S156" s="151">
        <f t="shared" si="39"/>
        <v>1650</v>
      </c>
      <c r="T156" s="142">
        <v>50</v>
      </c>
      <c r="U156" s="151">
        <f t="shared" si="40"/>
        <v>1650</v>
      </c>
      <c r="V156" s="140">
        <v>50</v>
      </c>
      <c r="W156" s="151">
        <f t="shared" si="41"/>
        <v>1650</v>
      </c>
      <c r="X156" s="142">
        <v>50</v>
      </c>
      <c r="Y156" s="151">
        <f t="shared" si="42"/>
        <v>1650</v>
      </c>
      <c r="Z156" s="146"/>
      <c r="AA156" s="155">
        <f t="shared" si="43"/>
        <v>200</v>
      </c>
      <c r="AB156" s="155">
        <f t="shared" si="34"/>
        <v>0</v>
      </c>
      <c r="AC156" s="149">
        <f t="shared" si="46"/>
        <v>50</v>
      </c>
      <c r="AD156" s="156">
        <f t="shared" si="36"/>
        <v>1650</v>
      </c>
      <c r="AG156" s="149">
        <v>187</v>
      </c>
      <c r="AH156" s="149">
        <v>6171</v>
      </c>
      <c r="AI156" s="150" t="s">
        <v>1300</v>
      </c>
      <c r="AJ156" s="206">
        <f t="shared" si="37"/>
        <v>224.39999999999998</v>
      </c>
      <c r="AL156" s="149">
        <f t="shared" si="47"/>
        <v>0</v>
      </c>
    </row>
    <row r="157" spans="1:38" ht="15">
      <c r="A157" s="140">
        <v>10949</v>
      </c>
      <c r="B157" s="140">
        <v>147</v>
      </c>
      <c r="C157" s="146" t="s">
        <v>819</v>
      </c>
      <c r="D157" s="147" t="s">
        <v>818</v>
      </c>
      <c r="E157" s="191" t="s">
        <v>91</v>
      </c>
      <c r="F157" s="153">
        <v>1</v>
      </c>
      <c r="G157" s="154" t="s">
        <v>1248</v>
      </c>
      <c r="H157" s="140">
        <v>1</v>
      </c>
      <c r="I157" s="140" t="s">
        <v>388</v>
      </c>
      <c r="J157" s="140">
        <v>34</v>
      </c>
      <c r="K157" s="142">
        <v>38</v>
      </c>
      <c r="L157" s="142">
        <v>4.800000000000001</v>
      </c>
      <c r="M157" s="143">
        <v>30</v>
      </c>
      <c r="N157" s="144">
        <v>34</v>
      </c>
      <c r="O157" s="143">
        <v>0</v>
      </c>
      <c r="P157" s="140">
        <v>25</v>
      </c>
      <c r="Q157" s="159">
        <f t="shared" si="38"/>
        <v>0</v>
      </c>
      <c r="R157" s="140">
        <v>0</v>
      </c>
      <c r="S157" s="151">
        <f t="shared" si="39"/>
        <v>0</v>
      </c>
      <c r="T157" s="142">
        <v>0</v>
      </c>
      <c r="U157" s="151">
        <f t="shared" si="40"/>
        <v>0</v>
      </c>
      <c r="V157" s="140">
        <v>0</v>
      </c>
      <c r="W157" s="151">
        <f t="shared" si="41"/>
        <v>0</v>
      </c>
      <c r="X157" s="142">
        <v>0</v>
      </c>
      <c r="Y157" s="151">
        <f t="shared" si="42"/>
        <v>0</v>
      </c>
      <c r="Z157" s="146"/>
      <c r="AA157" s="155">
        <f t="shared" si="43"/>
        <v>0</v>
      </c>
      <c r="AB157" s="155">
        <f t="shared" si="34"/>
        <v>0</v>
      </c>
      <c r="AC157" s="149">
        <f t="shared" si="46"/>
        <v>0</v>
      </c>
      <c r="AD157" s="156">
        <f t="shared" si="36"/>
        <v>0</v>
      </c>
      <c r="AG157" s="149">
        <v>4</v>
      </c>
      <c r="AH157" s="149">
        <v>100</v>
      </c>
      <c r="AI157" s="150" t="s">
        <v>1300</v>
      </c>
      <c r="AJ157" s="206">
        <f t="shared" si="37"/>
        <v>4.800000000000001</v>
      </c>
      <c r="AL157" s="149">
        <f t="shared" si="47"/>
        <v>0</v>
      </c>
    </row>
    <row r="158" spans="1:38" ht="15">
      <c r="A158" s="140">
        <v>10949</v>
      </c>
      <c r="B158" s="140">
        <v>148</v>
      </c>
      <c r="C158" s="146" t="s">
        <v>821</v>
      </c>
      <c r="D158" s="147" t="s">
        <v>820</v>
      </c>
      <c r="E158" s="191" t="s">
        <v>92</v>
      </c>
      <c r="F158" s="153">
        <v>1</v>
      </c>
      <c r="G158" s="154" t="s">
        <v>1248</v>
      </c>
      <c r="H158" s="140">
        <v>1</v>
      </c>
      <c r="I158" s="140" t="s">
        <v>388</v>
      </c>
      <c r="J158" s="140">
        <v>182</v>
      </c>
      <c r="K158" s="142">
        <v>199</v>
      </c>
      <c r="L158" s="142">
        <v>6</v>
      </c>
      <c r="M158" s="143">
        <v>140</v>
      </c>
      <c r="N158" s="144">
        <v>40</v>
      </c>
      <c r="O158" s="143">
        <f t="shared" si="33"/>
        <v>100</v>
      </c>
      <c r="P158" s="140">
        <v>25</v>
      </c>
      <c r="Q158" s="159">
        <f t="shared" si="38"/>
        <v>2500</v>
      </c>
      <c r="R158" s="140">
        <v>20</v>
      </c>
      <c r="S158" s="151">
        <f t="shared" si="39"/>
        <v>500</v>
      </c>
      <c r="T158" s="142">
        <v>20</v>
      </c>
      <c r="U158" s="151">
        <f t="shared" si="40"/>
        <v>500</v>
      </c>
      <c r="V158" s="140">
        <v>40</v>
      </c>
      <c r="W158" s="151">
        <f t="shared" si="41"/>
        <v>1000</v>
      </c>
      <c r="X158" s="142">
        <v>20</v>
      </c>
      <c r="Y158" s="151">
        <f t="shared" si="42"/>
        <v>500</v>
      </c>
      <c r="Z158" s="146"/>
      <c r="AA158" s="155">
        <f t="shared" si="43"/>
        <v>100</v>
      </c>
      <c r="AB158" s="155">
        <f t="shared" si="34"/>
        <v>0</v>
      </c>
      <c r="AC158" s="149">
        <f t="shared" si="46"/>
        <v>25</v>
      </c>
      <c r="AD158" s="156">
        <f t="shared" si="36"/>
        <v>625</v>
      </c>
      <c r="AE158" s="165" t="s">
        <v>1350</v>
      </c>
      <c r="AF158" s="165" t="s">
        <v>1351</v>
      </c>
      <c r="AG158" s="149">
        <v>5</v>
      </c>
      <c r="AH158" s="149">
        <v>125</v>
      </c>
      <c r="AI158" s="150" t="s">
        <v>1300</v>
      </c>
      <c r="AJ158" s="206">
        <f t="shared" si="37"/>
        <v>6</v>
      </c>
      <c r="AL158" s="149">
        <f t="shared" si="47"/>
        <v>0</v>
      </c>
    </row>
    <row r="159" spans="1:38" ht="15">
      <c r="A159" s="140">
        <v>10949</v>
      </c>
      <c r="B159" s="140">
        <v>149</v>
      </c>
      <c r="C159" s="146" t="s">
        <v>823</v>
      </c>
      <c r="D159" s="147" t="s">
        <v>822</v>
      </c>
      <c r="E159" s="191" t="s">
        <v>93</v>
      </c>
      <c r="F159" s="153">
        <v>1</v>
      </c>
      <c r="G159" s="154" t="s">
        <v>1248</v>
      </c>
      <c r="H159" s="140">
        <v>1</v>
      </c>
      <c r="I159" s="140" t="s">
        <v>388</v>
      </c>
      <c r="J159" s="140">
        <v>744</v>
      </c>
      <c r="K159" s="142">
        <v>412</v>
      </c>
      <c r="L159" s="142">
        <v>81.6</v>
      </c>
      <c r="M159" s="143">
        <v>420</v>
      </c>
      <c r="N159" s="144">
        <v>220</v>
      </c>
      <c r="O159" s="143">
        <f t="shared" si="33"/>
        <v>200</v>
      </c>
      <c r="P159" s="140">
        <v>25</v>
      </c>
      <c r="Q159" s="159">
        <f t="shared" si="38"/>
        <v>5000</v>
      </c>
      <c r="R159" s="140">
        <v>0</v>
      </c>
      <c r="S159" s="151">
        <f t="shared" si="39"/>
        <v>0</v>
      </c>
      <c r="T159" s="142">
        <v>0</v>
      </c>
      <c r="U159" s="151">
        <f t="shared" si="40"/>
        <v>0</v>
      </c>
      <c r="V159" s="140">
        <v>100</v>
      </c>
      <c r="W159" s="151">
        <f t="shared" si="41"/>
        <v>2500</v>
      </c>
      <c r="X159" s="142">
        <v>100</v>
      </c>
      <c r="Y159" s="151">
        <f t="shared" si="42"/>
        <v>2500</v>
      </c>
      <c r="Z159" s="146"/>
      <c r="AA159" s="155">
        <f t="shared" si="43"/>
        <v>200</v>
      </c>
      <c r="AB159" s="155">
        <f t="shared" si="34"/>
        <v>0</v>
      </c>
      <c r="AC159" s="149">
        <f t="shared" si="46"/>
        <v>50</v>
      </c>
      <c r="AD159" s="156">
        <f t="shared" si="36"/>
        <v>1250</v>
      </c>
      <c r="AE159" s="165" t="s">
        <v>1350</v>
      </c>
      <c r="AF159" s="165" t="s">
        <v>1351</v>
      </c>
      <c r="AG159" s="149">
        <v>68</v>
      </c>
      <c r="AH159" s="149">
        <v>1700</v>
      </c>
      <c r="AI159" s="150" t="s">
        <v>1302</v>
      </c>
      <c r="AJ159" s="206">
        <f t="shared" si="37"/>
        <v>81.6</v>
      </c>
      <c r="AL159" s="149">
        <f t="shared" si="47"/>
        <v>0</v>
      </c>
    </row>
    <row r="160" spans="1:38" ht="15">
      <c r="A160" s="140">
        <v>10949</v>
      </c>
      <c r="B160" s="140">
        <v>150</v>
      </c>
      <c r="C160" s="146" t="s">
        <v>825</v>
      </c>
      <c r="D160" s="147" t="s">
        <v>824</v>
      </c>
      <c r="E160" s="191" t="s">
        <v>94</v>
      </c>
      <c r="F160" s="153">
        <v>1</v>
      </c>
      <c r="G160" s="154" t="s">
        <v>1248</v>
      </c>
      <c r="H160" s="140">
        <v>1</v>
      </c>
      <c r="I160" s="140" t="s">
        <v>388</v>
      </c>
      <c r="J160" s="166">
        <v>2505</v>
      </c>
      <c r="K160" s="142">
        <v>3271</v>
      </c>
      <c r="L160" s="142">
        <v>1994.3999999999999</v>
      </c>
      <c r="M160" s="143">
        <v>2700</v>
      </c>
      <c r="N160" s="144">
        <v>700</v>
      </c>
      <c r="O160" s="143">
        <f t="shared" si="33"/>
        <v>2000</v>
      </c>
      <c r="P160" s="140">
        <v>30</v>
      </c>
      <c r="Q160" s="159">
        <f t="shared" si="38"/>
        <v>60000</v>
      </c>
      <c r="R160" s="140">
        <v>500</v>
      </c>
      <c r="S160" s="151">
        <f t="shared" si="39"/>
        <v>15000</v>
      </c>
      <c r="T160" s="142">
        <v>500</v>
      </c>
      <c r="U160" s="151">
        <f t="shared" si="40"/>
        <v>15000</v>
      </c>
      <c r="V160" s="140">
        <v>500</v>
      </c>
      <c r="W160" s="151">
        <f t="shared" si="41"/>
        <v>15000</v>
      </c>
      <c r="X160" s="142">
        <v>500</v>
      </c>
      <c r="Y160" s="151">
        <f t="shared" si="42"/>
        <v>15000</v>
      </c>
      <c r="Z160" s="146"/>
      <c r="AA160" s="155">
        <f t="shared" si="43"/>
        <v>2000</v>
      </c>
      <c r="AB160" s="155">
        <f t="shared" si="34"/>
        <v>0</v>
      </c>
      <c r="AC160" s="149">
        <f t="shared" si="46"/>
        <v>500</v>
      </c>
      <c r="AD160" s="156">
        <f t="shared" si="36"/>
        <v>15000</v>
      </c>
      <c r="AE160" s="165">
        <v>1</v>
      </c>
      <c r="AF160" s="165" t="s">
        <v>1351</v>
      </c>
      <c r="AG160" s="149">
        <v>1662</v>
      </c>
      <c r="AH160" s="149">
        <v>48198</v>
      </c>
      <c r="AI160" s="150" t="s">
        <v>1301</v>
      </c>
      <c r="AJ160" s="206">
        <f t="shared" si="37"/>
        <v>1994.3999999999999</v>
      </c>
      <c r="AL160" s="149">
        <f t="shared" si="47"/>
        <v>0</v>
      </c>
    </row>
    <row r="161" spans="1:38" ht="24" customHeight="1">
      <c r="A161" s="140">
        <v>10949</v>
      </c>
      <c r="B161" s="140">
        <v>151</v>
      </c>
      <c r="C161" s="146" t="s">
        <v>827</v>
      </c>
      <c r="D161" s="147" t="s">
        <v>826</v>
      </c>
      <c r="E161" s="191" t="s">
        <v>95</v>
      </c>
      <c r="F161" s="153">
        <v>1</v>
      </c>
      <c r="G161" s="154" t="s">
        <v>1248</v>
      </c>
      <c r="H161" s="140">
        <v>1</v>
      </c>
      <c r="I161" s="140" t="s">
        <v>388</v>
      </c>
      <c r="J161" s="140">
        <v>2522</v>
      </c>
      <c r="K161" s="142">
        <v>803</v>
      </c>
      <c r="L161" s="142">
        <v>248.39999999999998</v>
      </c>
      <c r="M161" s="143">
        <v>1000</v>
      </c>
      <c r="N161" s="144">
        <v>200</v>
      </c>
      <c r="O161" s="143">
        <f t="shared" si="33"/>
        <v>800</v>
      </c>
      <c r="P161" s="140">
        <v>30</v>
      </c>
      <c r="Q161" s="159">
        <f t="shared" si="38"/>
        <v>24000</v>
      </c>
      <c r="R161" s="140">
        <v>200</v>
      </c>
      <c r="S161" s="151">
        <f t="shared" si="39"/>
        <v>6000</v>
      </c>
      <c r="T161" s="142">
        <v>200</v>
      </c>
      <c r="U161" s="151">
        <f t="shared" si="40"/>
        <v>6000</v>
      </c>
      <c r="V161" s="140">
        <v>200</v>
      </c>
      <c r="W161" s="151">
        <f t="shared" si="41"/>
        <v>6000</v>
      </c>
      <c r="X161" s="142">
        <v>200</v>
      </c>
      <c r="Y161" s="151">
        <f t="shared" si="42"/>
        <v>6000</v>
      </c>
      <c r="Z161" s="146"/>
      <c r="AA161" s="155">
        <f t="shared" si="43"/>
        <v>800</v>
      </c>
      <c r="AB161" s="155">
        <f t="shared" si="34"/>
        <v>0</v>
      </c>
      <c r="AC161" s="149">
        <f t="shared" si="46"/>
        <v>200</v>
      </c>
      <c r="AD161" s="156">
        <f t="shared" si="36"/>
        <v>6000</v>
      </c>
      <c r="AE161" s="218"/>
      <c r="AF161" s="218"/>
      <c r="AG161" s="149">
        <v>207</v>
      </c>
      <c r="AH161" s="149">
        <v>6106.5</v>
      </c>
      <c r="AI161" s="150" t="s">
        <v>1302</v>
      </c>
      <c r="AJ161" s="206">
        <f t="shared" si="37"/>
        <v>248.39999999999998</v>
      </c>
      <c r="AL161" s="149">
        <f t="shared" si="47"/>
        <v>0</v>
      </c>
    </row>
    <row r="162" spans="1:38" ht="15">
      <c r="A162" s="140">
        <v>10949</v>
      </c>
      <c r="B162" s="140">
        <v>152</v>
      </c>
      <c r="C162" s="146" t="s">
        <v>831</v>
      </c>
      <c r="D162" s="147" t="s">
        <v>830</v>
      </c>
      <c r="E162" s="191" t="s">
        <v>96</v>
      </c>
      <c r="F162" s="153">
        <v>1</v>
      </c>
      <c r="G162" s="154" t="s">
        <v>1248</v>
      </c>
      <c r="H162" s="140">
        <v>1</v>
      </c>
      <c r="I162" s="140" t="s">
        <v>388</v>
      </c>
      <c r="J162" s="140">
        <v>2424</v>
      </c>
      <c r="K162" s="142">
        <v>2586</v>
      </c>
      <c r="L162" s="142">
        <v>2060.3999999999996</v>
      </c>
      <c r="M162" s="143">
        <v>2500</v>
      </c>
      <c r="N162" s="144">
        <v>500</v>
      </c>
      <c r="O162" s="143">
        <f t="shared" si="33"/>
        <v>2000</v>
      </c>
      <c r="P162" s="140">
        <v>14</v>
      </c>
      <c r="Q162" s="159">
        <f t="shared" si="38"/>
        <v>28000</v>
      </c>
      <c r="R162" s="140">
        <v>500</v>
      </c>
      <c r="S162" s="151">
        <f t="shared" si="39"/>
        <v>7000</v>
      </c>
      <c r="T162" s="142">
        <v>500</v>
      </c>
      <c r="U162" s="151">
        <f t="shared" si="40"/>
        <v>7000</v>
      </c>
      <c r="V162" s="140">
        <v>500</v>
      </c>
      <c r="W162" s="151">
        <f t="shared" si="41"/>
        <v>7000</v>
      </c>
      <c r="X162" s="142">
        <v>500</v>
      </c>
      <c r="Y162" s="151">
        <f t="shared" si="42"/>
        <v>7000</v>
      </c>
      <c r="Z162" s="146"/>
      <c r="AA162" s="155">
        <f t="shared" si="43"/>
        <v>2000</v>
      </c>
      <c r="AB162" s="155">
        <f t="shared" si="34"/>
        <v>0</v>
      </c>
      <c r="AC162" s="149">
        <f t="shared" si="46"/>
        <v>500</v>
      </c>
      <c r="AD162" s="156">
        <f t="shared" si="36"/>
        <v>7000</v>
      </c>
      <c r="AE162" s="218"/>
      <c r="AF162" s="218"/>
      <c r="AG162" s="149">
        <v>1717</v>
      </c>
      <c r="AH162" s="149">
        <v>23093.650000000012</v>
      </c>
      <c r="AJ162" s="206">
        <f t="shared" si="37"/>
        <v>2060.3999999999996</v>
      </c>
      <c r="AL162" s="149">
        <f t="shared" si="47"/>
        <v>0</v>
      </c>
    </row>
    <row r="163" spans="1:38" ht="15">
      <c r="A163" s="140">
        <v>10949</v>
      </c>
      <c r="B163" s="140">
        <v>153</v>
      </c>
      <c r="C163" s="146" t="s">
        <v>829</v>
      </c>
      <c r="D163" s="147" t="s">
        <v>828</v>
      </c>
      <c r="E163" s="191" t="s">
        <v>97</v>
      </c>
      <c r="F163" s="153">
        <v>1</v>
      </c>
      <c r="G163" s="154" t="s">
        <v>1248</v>
      </c>
      <c r="H163" s="140">
        <v>1</v>
      </c>
      <c r="I163" s="140" t="s">
        <v>388</v>
      </c>
      <c r="J163" s="140">
        <v>124</v>
      </c>
      <c r="K163" s="142">
        <v>126</v>
      </c>
      <c r="L163" s="142">
        <v>229.20000000000002</v>
      </c>
      <c r="M163" s="143">
        <v>240</v>
      </c>
      <c r="N163" s="144">
        <v>40</v>
      </c>
      <c r="O163" s="143">
        <f t="shared" si="33"/>
        <v>200</v>
      </c>
      <c r="P163" s="140">
        <v>25</v>
      </c>
      <c r="Q163" s="159">
        <f t="shared" si="38"/>
        <v>5000</v>
      </c>
      <c r="R163" s="140">
        <v>40</v>
      </c>
      <c r="S163" s="151">
        <f t="shared" si="39"/>
        <v>1000</v>
      </c>
      <c r="T163" s="142">
        <v>60</v>
      </c>
      <c r="U163" s="151">
        <f t="shared" si="40"/>
        <v>1500</v>
      </c>
      <c r="V163" s="140">
        <v>40</v>
      </c>
      <c r="W163" s="151">
        <f t="shared" si="41"/>
        <v>1000</v>
      </c>
      <c r="X163" s="142">
        <v>60</v>
      </c>
      <c r="Y163" s="151">
        <f t="shared" si="42"/>
        <v>1500</v>
      </c>
      <c r="Z163" s="146"/>
      <c r="AA163" s="155">
        <f t="shared" si="43"/>
        <v>200</v>
      </c>
      <c r="AB163" s="155">
        <f t="shared" si="34"/>
        <v>0</v>
      </c>
      <c r="AC163" s="149">
        <f t="shared" si="46"/>
        <v>50</v>
      </c>
      <c r="AD163" s="156">
        <f t="shared" si="36"/>
        <v>1250</v>
      </c>
      <c r="AG163" s="149">
        <v>191</v>
      </c>
      <c r="AH163" s="149">
        <v>4775</v>
      </c>
      <c r="AJ163" s="206">
        <f t="shared" si="37"/>
        <v>229.20000000000002</v>
      </c>
      <c r="AL163" s="149">
        <f t="shared" si="47"/>
        <v>0</v>
      </c>
    </row>
    <row r="164" spans="1:38" ht="15">
      <c r="A164" s="140">
        <v>10949</v>
      </c>
      <c r="B164" s="140">
        <v>154</v>
      </c>
      <c r="C164" s="146"/>
      <c r="D164" s="147"/>
      <c r="E164" s="191" t="s">
        <v>98</v>
      </c>
      <c r="F164" s="153">
        <v>1</v>
      </c>
      <c r="G164" s="154" t="s">
        <v>1248</v>
      </c>
      <c r="H164" s="140">
        <v>1</v>
      </c>
      <c r="I164" s="140" t="s">
        <v>392</v>
      </c>
      <c r="J164" s="140">
        <v>1198</v>
      </c>
      <c r="K164" s="142">
        <v>1489</v>
      </c>
      <c r="L164" s="142">
        <v>1875.6000000000001</v>
      </c>
      <c r="M164" s="143">
        <v>1900</v>
      </c>
      <c r="N164" s="144">
        <v>100</v>
      </c>
      <c r="O164" s="143">
        <f t="shared" si="33"/>
        <v>1800</v>
      </c>
      <c r="P164" s="142">
        <v>16</v>
      </c>
      <c r="Q164" s="159">
        <f t="shared" si="38"/>
        <v>28800</v>
      </c>
      <c r="R164" s="140">
        <v>450</v>
      </c>
      <c r="S164" s="151">
        <f t="shared" si="39"/>
        <v>7200</v>
      </c>
      <c r="T164" s="142">
        <v>450</v>
      </c>
      <c r="U164" s="151">
        <f t="shared" si="40"/>
        <v>7200</v>
      </c>
      <c r="V164" s="140">
        <v>450</v>
      </c>
      <c r="W164" s="151">
        <f t="shared" si="41"/>
        <v>7200</v>
      </c>
      <c r="X164" s="142">
        <v>450</v>
      </c>
      <c r="Y164" s="151">
        <f t="shared" si="42"/>
        <v>7200</v>
      </c>
      <c r="Z164" s="146"/>
      <c r="AA164" s="155">
        <f t="shared" si="43"/>
        <v>1800</v>
      </c>
      <c r="AB164" s="155">
        <f t="shared" si="34"/>
        <v>0</v>
      </c>
      <c r="AC164" s="149">
        <f t="shared" si="46"/>
        <v>450</v>
      </c>
      <c r="AD164" s="156">
        <f t="shared" si="36"/>
        <v>7200</v>
      </c>
      <c r="AG164" s="149">
        <v>1563</v>
      </c>
      <c r="AH164" s="149">
        <v>24698.79999999999</v>
      </c>
      <c r="AJ164" s="206">
        <f t="shared" si="37"/>
        <v>1875.6000000000001</v>
      </c>
      <c r="AL164" s="149">
        <f t="shared" si="47"/>
        <v>0</v>
      </c>
    </row>
    <row r="165" spans="1:38" ht="15">
      <c r="A165" s="130" t="s">
        <v>1199</v>
      </c>
      <c r="B165" s="130" t="s">
        <v>2</v>
      </c>
      <c r="C165" s="130" t="s">
        <v>1200</v>
      </c>
      <c r="D165" s="198" t="s">
        <v>1201</v>
      </c>
      <c r="E165" s="134" t="s">
        <v>1285</v>
      </c>
      <c r="F165" s="134" t="s">
        <v>1295</v>
      </c>
      <c r="G165" s="134" t="s">
        <v>1202</v>
      </c>
      <c r="H165" s="130" t="s">
        <v>1579</v>
      </c>
      <c r="I165" s="130" t="s">
        <v>1203</v>
      </c>
      <c r="J165" s="199"/>
      <c r="K165" s="131" t="s">
        <v>1205</v>
      </c>
      <c r="L165" s="132"/>
      <c r="M165" s="133" t="s">
        <v>0</v>
      </c>
      <c r="N165" s="134" t="s">
        <v>1214</v>
      </c>
      <c r="O165" s="133" t="s">
        <v>0</v>
      </c>
      <c r="P165" s="130" t="s">
        <v>1390</v>
      </c>
      <c r="Q165" s="200" t="s">
        <v>1206</v>
      </c>
      <c r="R165" s="201" t="s">
        <v>1289</v>
      </c>
      <c r="S165" s="132"/>
      <c r="T165" s="201" t="s">
        <v>1290</v>
      </c>
      <c r="U165" s="202"/>
      <c r="V165" s="201" t="s">
        <v>1291</v>
      </c>
      <c r="W165" s="132"/>
      <c r="X165" s="201" t="s">
        <v>1292</v>
      </c>
      <c r="Y165" s="202"/>
      <c r="Z165" s="203" t="s">
        <v>608</v>
      </c>
      <c r="AA165" s="204"/>
      <c r="AB165" s="204"/>
      <c r="AC165" s="149" t="s">
        <v>1318</v>
      </c>
      <c r="AD165" s="149" t="s">
        <v>1389</v>
      </c>
      <c r="AE165" s="205" t="s">
        <v>3</v>
      </c>
      <c r="AF165" s="205" t="s">
        <v>1349</v>
      </c>
      <c r="AG165" s="149" t="s">
        <v>1297</v>
      </c>
      <c r="AH165" s="149" t="s">
        <v>6</v>
      </c>
      <c r="AI165" s="150" t="s">
        <v>1307</v>
      </c>
      <c r="AJ165" s="206" t="s">
        <v>1303</v>
      </c>
      <c r="AK165" s="149" t="s">
        <v>4</v>
      </c>
      <c r="AL165" s="149" t="s">
        <v>1304</v>
      </c>
    </row>
    <row r="166" spans="1:35" ht="15">
      <c r="A166" s="135"/>
      <c r="B166" s="139"/>
      <c r="C166" s="207"/>
      <c r="D166" s="208"/>
      <c r="E166" s="136"/>
      <c r="F166" s="136" t="s">
        <v>1294</v>
      </c>
      <c r="G166" s="136"/>
      <c r="H166" s="139" t="s">
        <v>1204</v>
      </c>
      <c r="I166" s="136" t="s">
        <v>1204</v>
      </c>
      <c r="J166" s="136">
        <v>2562</v>
      </c>
      <c r="K166" s="136">
        <v>2563</v>
      </c>
      <c r="L166" s="137">
        <v>2564</v>
      </c>
      <c r="M166" s="138" t="s">
        <v>1537</v>
      </c>
      <c r="N166" s="136" t="s">
        <v>4</v>
      </c>
      <c r="O166" s="138" t="s">
        <v>1538</v>
      </c>
      <c r="P166" s="139" t="s">
        <v>1286</v>
      </c>
      <c r="Q166" s="209" t="s">
        <v>1391</v>
      </c>
      <c r="R166" s="210" t="s">
        <v>5</v>
      </c>
      <c r="S166" s="139" t="s">
        <v>1208</v>
      </c>
      <c r="T166" s="139" t="s">
        <v>5</v>
      </c>
      <c r="U166" s="211" t="s">
        <v>1208</v>
      </c>
      <c r="V166" s="210" t="s">
        <v>5</v>
      </c>
      <c r="W166" s="139" t="s">
        <v>1208</v>
      </c>
      <c r="X166" s="139" t="s">
        <v>5</v>
      </c>
      <c r="Y166" s="211" t="s">
        <v>1208</v>
      </c>
      <c r="Z166" s="207"/>
      <c r="AA166" s="197"/>
      <c r="AB166" s="197"/>
      <c r="AG166" s="149" t="s">
        <v>1494</v>
      </c>
      <c r="AH166" s="149" t="s">
        <v>1207</v>
      </c>
      <c r="AI166" s="150" t="s">
        <v>1308</v>
      </c>
    </row>
    <row r="167" spans="1:38" ht="15">
      <c r="A167" s="140">
        <v>10949</v>
      </c>
      <c r="B167" s="140">
        <v>155</v>
      </c>
      <c r="C167" s="146" t="s">
        <v>833</v>
      </c>
      <c r="D167" s="147" t="s">
        <v>832</v>
      </c>
      <c r="E167" s="191" t="s">
        <v>99</v>
      </c>
      <c r="F167" s="153">
        <v>1</v>
      </c>
      <c r="G167" s="154" t="s">
        <v>1254</v>
      </c>
      <c r="H167" s="140">
        <v>60</v>
      </c>
      <c r="I167" s="140" t="s">
        <v>1250</v>
      </c>
      <c r="J167" s="140">
        <v>7070</v>
      </c>
      <c r="K167" s="142">
        <v>4735</v>
      </c>
      <c r="L167" s="142">
        <v>3834</v>
      </c>
      <c r="M167" s="143">
        <v>5000</v>
      </c>
      <c r="N167" s="144">
        <v>1400</v>
      </c>
      <c r="O167" s="143">
        <f t="shared" si="33"/>
        <v>3600</v>
      </c>
      <c r="P167" s="140">
        <v>9</v>
      </c>
      <c r="Q167" s="159">
        <f t="shared" si="38"/>
        <v>32400</v>
      </c>
      <c r="R167" s="140">
        <v>900</v>
      </c>
      <c r="S167" s="151">
        <f t="shared" si="39"/>
        <v>8100</v>
      </c>
      <c r="T167" s="142">
        <v>900</v>
      </c>
      <c r="U167" s="151">
        <f t="shared" si="40"/>
        <v>8100</v>
      </c>
      <c r="V167" s="140">
        <v>900</v>
      </c>
      <c r="W167" s="151">
        <f t="shared" si="41"/>
        <v>8100</v>
      </c>
      <c r="X167" s="142">
        <v>900</v>
      </c>
      <c r="Y167" s="151">
        <f t="shared" si="42"/>
        <v>8100</v>
      </c>
      <c r="Z167" s="146"/>
      <c r="AA167" s="155">
        <f t="shared" si="43"/>
        <v>3600</v>
      </c>
      <c r="AB167" s="155">
        <f t="shared" si="34"/>
        <v>0</v>
      </c>
      <c r="AC167" s="149">
        <f t="shared" si="46"/>
        <v>900</v>
      </c>
      <c r="AD167" s="156">
        <f t="shared" si="36"/>
        <v>8100</v>
      </c>
      <c r="AE167" s="220"/>
      <c r="AF167" s="220"/>
      <c r="AG167" s="149">
        <v>3195</v>
      </c>
      <c r="AH167" s="149">
        <v>28755</v>
      </c>
      <c r="AJ167" s="206">
        <f t="shared" si="37"/>
        <v>3834</v>
      </c>
      <c r="AL167" s="149">
        <f t="shared" si="47"/>
        <v>0</v>
      </c>
    </row>
    <row r="168" spans="1:38" ht="15">
      <c r="A168" s="140">
        <v>10949</v>
      </c>
      <c r="B168" s="140">
        <v>156</v>
      </c>
      <c r="C168" s="146" t="s">
        <v>835</v>
      </c>
      <c r="D168" s="147" t="s">
        <v>834</v>
      </c>
      <c r="E168" s="191" t="s">
        <v>102</v>
      </c>
      <c r="F168" s="153">
        <v>1</v>
      </c>
      <c r="G168" s="154" t="s">
        <v>1245</v>
      </c>
      <c r="H168" s="140">
        <v>500</v>
      </c>
      <c r="I168" s="140" t="s">
        <v>376</v>
      </c>
      <c r="J168" s="140">
        <v>4</v>
      </c>
      <c r="K168" s="142">
        <v>1</v>
      </c>
      <c r="L168" s="142">
        <v>0</v>
      </c>
      <c r="M168" s="143">
        <v>2</v>
      </c>
      <c r="N168" s="144">
        <v>4</v>
      </c>
      <c r="O168" s="143">
        <v>0</v>
      </c>
      <c r="P168" s="167">
        <v>982.5</v>
      </c>
      <c r="Q168" s="159">
        <f t="shared" si="38"/>
        <v>0</v>
      </c>
      <c r="R168" s="140">
        <v>0</v>
      </c>
      <c r="S168" s="151">
        <f t="shared" si="39"/>
        <v>0</v>
      </c>
      <c r="T168" s="142">
        <v>0</v>
      </c>
      <c r="U168" s="151">
        <f t="shared" si="40"/>
        <v>0</v>
      </c>
      <c r="V168" s="140">
        <v>0</v>
      </c>
      <c r="W168" s="151">
        <f t="shared" si="41"/>
        <v>0</v>
      </c>
      <c r="X168" s="142">
        <v>0</v>
      </c>
      <c r="Y168" s="151">
        <f t="shared" si="42"/>
        <v>0</v>
      </c>
      <c r="Z168" s="146"/>
      <c r="AA168" s="155">
        <f t="shared" si="43"/>
        <v>0</v>
      </c>
      <c r="AB168" s="155">
        <f t="shared" si="34"/>
        <v>0</v>
      </c>
      <c r="AC168" s="149">
        <f t="shared" si="46"/>
        <v>0</v>
      </c>
      <c r="AD168" s="156">
        <f t="shared" si="36"/>
        <v>0</v>
      </c>
      <c r="AE168" s="220"/>
      <c r="AF168" s="220"/>
      <c r="AJ168" s="206">
        <f t="shared" si="37"/>
        <v>0</v>
      </c>
      <c r="AL168" s="149">
        <f t="shared" si="47"/>
        <v>0</v>
      </c>
    </row>
    <row r="169" spans="1:38" ht="15">
      <c r="A169" s="140">
        <v>10949</v>
      </c>
      <c r="B169" s="140">
        <v>157</v>
      </c>
      <c r="C169" s="146" t="s">
        <v>837</v>
      </c>
      <c r="D169" s="147" t="s">
        <v>836</v>
      </c>
      <c r="E169" s="191" t="s">
        <v>470</v>
      </c>
      <c r="F169" s="153">
        <v>1</v>
      </c>
      <c r="G169" s="154" t="s">
        <v>1245</v>
      </c>
      <c r="H169" s="144">
        <v>1000</v>
      </c>
      <c r="I169" s="144" t="s">
        <v>376</v>
      </c>
      <c r="J169" s="140">
        <v>21</v>
      </c>
      <c r="K169" s="142">
        <v>29</v>
      </c>
      <c r="L169" s="142">
        <v>26.400000000000002</v>
      </c>
      <c r="M169" s="143">
        <v>27</v>
      </c>
      <c r="N169" s="144">
        <v>7</v>
      </c>
      <c r="O169" s="143">
        <f t="shared" si="33"/>
        <v>20</v>
      </c>
      <c r="P169" s="140">
        <v>180</v>
      </c>
      <c r="Q169" s="159">
        <f t="shared" si="38"/>
        <v>3600</v>
      </c>
      <c r="R169" s="140">
        <v>5</v>
      </c>
      <c r="S169" s="151">
        <f t="shared" si="39"/>
        <v>900</v>
      </c>
      <c r="T169" s="142">
        <v>5</v>
      </c>
      <c r="U169" s="151">
        <f t="shared" si="40"/>
        <v>900</v>
      </c>
      <c r="V169" s="140">
        <v>5</v>
      </c>
      <c r="W169" s="151">
        <f t="shared" si="41"/>
        <v>900</v>
      </c>
      <c r="X169" s="142">
        <v>5</v>
      </c>
      <c r="Y169" s="151">
        <f t="shared" si="42"/>
        <v>900</v>
      </c>
      <c r="Z169" s="146"/>
      <c r="AA169" s="155">
        <f t="shared" si="43"/>
        <v>20</v>
      </c>
      <c r="AB169" s="155">
        <f t="shared" si="34"/>
        <v>0</v>
      </c>
      <c r="AC169" s="149">
        <f t="shared" si="46"/>
        <v>5</v>
      </c>
      <c r="AD169" s="156">
        <f t="shared" si="36"/>
        <v>900</v>
      </c>
      <c r="AE169" s="220"/>
      <c r="AF169" s="220"/>
      <c r="AG169" s="149">
        <v>22</v>
      </c>
      <c r="AH169" s="149">
        <v>3960</v>
      </c>
      <c r="AJ169" s="206">
        <f t="shared" si="37"/>
        <v>26.400000000000002</v>
      </c>
      <c r="AL169" s="149">
        <f t="shared" si="47"/>
        <v>0</v>
      </c>
    </row>
    <row r="170" spans="1:38" ht="15">
      <c r="A170" s="140">
        <v>10949</v>
      </c>
      <c r="B170" s="140">
        <v>158</v>
      </c>
      <c r="C170" s="146" t="s">
        <v>839</v>
      </c>
      <c r="D170" s="147" t="s">
        <v>838</v>
      </c>
      <c r="E170" s="191" t="s">
        <v>104</v>
      </c>
      <c r="F170" s="153">
        <v>1</v>
      </c>
      <c r="G170" s="154" t="s">
        <v>1245</v>
      </c>
      <c r="H170" s="140">
        <v>1000</v>
      </c>
      <c r="I170" s="140" t="s">
        <v>376</v>
      </c>
      <c r="J170" s="140">
        <v>22</v>
      </c>
      <c r="K170" s="142">
        <v>44</v>
      </c>
      <c r="L170" s="142">
        <v>20.4</v>
      </c>
      <c r="M170" s="143">
        <v>30</v>
      </c>
      <c r="N170" s="144">
        <v>10</v>
      </c>
      <c r="O170" s="143">
        <f t="shared" si="33"/>
        <v>20</v>
      </c>
      <c r="P170" s="140">
        <v>440</v>
      </c>
      <c r="Q170" s="159">
        <f t="shared" si="38"/>
        <v>8800</v>
      </c>
      <c r="R170" s="140">
        <v>5</v>
      </c>
      <c r="S170" s="151">
        <f t="shared" si="39"/>
        <v>2200</v>
      </c>
      <c r="T170" s="142">
        <v>5</v>
      </c>
      <c r="U170" s="151">
        <f t="shared" si="40"/>
        <v>2200</v>
      </c>
      <c r="V170" s="140">
        <v>5</v>
      </c>
      <c r="W170" s="151">
        <f t="shared" si="41"/>
        <v>2200</v>
      </c>
      <c r="X170" s="142">
        <v>5</v>
      </c>
      <c r="Y170" s="151">
        <f t="shared" si="42"/>
        <v>2200</v>
      </c>
      <c r="Z170" s="146"/>
      <c r="AA170" s="155">
        <f t="shared" si="43"/>
        <v>20</v>
      </c>
      <c r="AB170" s="155">
        <f t="shared" si="34"/>
        <v>0</v>
      </c>
      <c r="AC170" s="149">
        <f t="shared" si="46"/>
        <v>5</v>
      </c>
      <c r="AD170" s="156">
        <f aca="true" t="shared" si="48" ref="AD170:AD195">Q170/4</f>
        <v>2200</v>
      </c>
      <c r="AG170" s="149">
        <v>17</v>
      </c>
      <c r="AH170" s="149">
        <v>7480</v>
      </c>
      <c r="AJ170" s="206">
        <f t="shared" si="37"/>
        <v>20.4</v>
      </c>
      <c r="AL170" s="149">
        <f t="shared" si="47"/>
        <v>0</v>
      </c>
    </row>
    <row r="171" spans="1:38" ht="15">
      <c r="A171" s="140">
        <v>10949</v>
      </c>
      <c r="B171" s="140">
        <v>159</v>
      </c>
      <c r="C171" s="146" t="s">
        <v>841</v>
      </c>
      <c r="D171" s="147" t="s">
        <v>840</v>
      </c>
      <c r="E171" s="191" t="s">
        <v>105</v>
      </c>
      <c r="F171" s="153">
        <v>1</v>
      </c>
      <c r="G171" s="154" t="s">
        <v>1245</v>
      </c>
      <c r="H171" s="140">
        <v>1000</v>
      </c>
      <c r="I171" s="140" t="s">
        <v>376</v>
      </c>
      <c r="J171" s="140">
        <v>20</v>
      </c>
      <c r="K171" s="142">
        <v>35</v>
      </c>
      <c r="L171" s="142">
        <v>8.399999999999999</v>
      </c>
      <c r="M171" s="143">
        <v>20</v>
      </c>
      <c r="N171" s="144">
        <v>5</v>
      </c>
      <c r="O171" s="143">
        <f t="shared" si="33"/>
        <v>15</v>
      </c>
      <c r="P171" s="140">
        <v>740</v>
      </c>
      <c r="Q171" s="159">
        <f t="shared" si="38"/>
        <v>11100</v>
      </c>
      <c r="R171" s="140">
        <v>0</v>
      </c>
      <c r="S171" s="151">
        <f t="shared" si="39"/>
        <v>0</v>
      </c>
      <c r="T171" s="142">
        <v>5</v>
      </c>
      <c r="U171" s="151">
        <f t="shared" si="40"/>
        <v>3700</v>
      </c>
      <c r="V171" s="140">
        <v>5</v>
      </c>
      <c r="W171" s="151">
        <f t="shared" si="41"/>
        <v>3700</v>
      </c>
      <c r="X171" s="142">
        <v>5</v>
      </c>
      <c r="Y171" s="151">
        <f t="shared" si="42"/>
        <v>3700</v>
      </c>
      <c r="Z171" s="146"/>
      <c r="AA171" s="155">
        <f t="shared" si="43"/>
        <v>15</v>
      </c>
      <c r="AB171" s="155">
        <f t="shared" si="34"/>
        <v>0</v>
      </c>
      <c r="AC171" s="149">
        <f t="shared" si="46"/>
        <v>3.75</v>
      </c>
      <c r="AD171" s="156">
        <f t="shared" si="48"/>
        <v>2775</v>
      </c>
      <c r="AG171" s="149">
        <v>7</v>
      </c>
      <c r="AH171" s="149">
        <v>5180</v>
      </c>
      <c r="AJ171" s="206">
        <f t="shared" si="37"/>
        <v>8.399999999999999</v>
      </c>
      <c r="AL171" s="149">
        <f t="shared" si="47"/>
        <v>0</v>
      </c>
    </row>
    <row r="172" spans="1:38" ht="15">
      <c r="A172" s="140">
        <v>10949</v>
      </c>
      <c r="B172" s="140">
        <v>160</v>
      </c>
      <c r="C172" s="146" t="s">
        <v>843</v>
      </c>
      <c r="D172" s="147" t="s">
        <v>842</v>
      </c>
      <c r="E172" s="191" t="s">
        <v>873</v>
      </c>
      <c r="F172" s="153">
        <v>1</v>
      </c>
      <c r="G172" s="154" t="s">
        <v>1248</v>
      </c>
      <c r="H172" s="140">
        <v>1</v>
      </c>
      <c r="I172" s="140" t="s">
        <v>377</v>
      </c>
      <c r="J172" s="140">
        <v>170</v>
      </c>
      <c r="K172" s="142">
        <v>216</v>
      </c>
      <c r="L172" s="142">
        <v>256.79999999999995</v>
      </c>
      <c r="M172" s="143">
        <v>260</v>
      </c>
      <c r="N172" s="144">
        <v>110</v>
      </c>
      <c r="O172" s="143">
        <f t="shared" si="33"/>
        <v>150</v>
      </c>
      <c r="P172" s="140">
        <v>9.72</v>
      </c>
      <c r="Q172" s="159">
        <f t="shared" si="38"/>
        <v>1458</v>
      </c>
      <c r="R172" s="140">
        <v>0</v>
      </c>
      <c r="S172" s="151">
        <f t="shared" si="39"/>
        <v>0</v>
      </c>
      <c r="T172" s="142">
        <v>50</v>
      </c>
      <c r="U172" s="151">
        <f t="shared" si="40"/>
        <v>486.00000000000006</v>
      </c>
      <c r="V172" s="140">
        <v>50</v>
      </c>
      <c r="W172" s="151">
        <f t="shared" si="41"/>
        <v>486.00000000000006</v>
      </c>
      <c r="X172" s="142">
        <v>50</v>
      </c>
      <c r="Y172" s="151">
        <f t="shared" si="42"/>
        <v>486.00000000000006</v>
      </c>
      <c r="Z172" s="146"/>
      <c r="AA172" s="155">
        <f t="shared" si="43"/>
        <v>150</v>
      </c>
      <c r="AB172" s="155">
        <f t="shared" si="34"/>
        <v>0</v>
      </c>
      <c r="AC172" s="149">
        <f t="shared" si="46"/>
        <v>37.5</v>
      </c>
      <c r="AD172" s="156">
        <f t="shared" si="48"/>
        <v>364.5</v>
      </c>
      <c r="AG172" s="149">
        <v>214</v>
      </c>
      <c r="AH172" s="149">
        <v>2080.0800000000004</v>
      </c>
      <c r="AJ172" s="206">
        <f t="shared" si="37"/>
        <v>256.79999999999995</v>
      </c>
      <c r="AL172" s="149">
        <f t="shared" si="47"/>
        <v>0</v>
      </c>
    </row>
    <row r="173" spans="1:38" ht="15">
      <c r="A173" s="140">
        <v>10949</v>
      </c>
      <c r="B173" s="140">
        <v>161</v>
      </c>
      <c r="C173" s="146" t="s">
        <v>845</v>
      </c>
      <c r="D173" s="147" t="s">
        <v>844</v>
      </c>
      <c r="E173" s="191" t="s">
        <v>103</v>
      </c>
      <c r="F173" s="153">
        <v>1</v>
      </c>
      <c r="G173" s="154" t="s">
        <v>1248</v>
      </c>
      <c r="H173" s="140">
        <v>1</v>
      </c>
      <c r="I173" s="140" t="s">
        <v>377</v>
      </c>
      <c r="J173" s="140">
        <v>100</v>
      </c>
      <c r="K173" s="142">
        <v>124</v>
      </c>
      <c r="L173" s="142">
        <v>152.39999999999998</v>
      </c>
      <c r="M173" s="143">
        <v>150</v>
      </c>
      <c r="N173" s="144">
        <v>50</v>
      </c>
      <c r="O173" s="143">
        <f t="shared" si="33"/>
        <v>100</v>
      </c>
      <c r="P173" s="140">
        <v>63</v>
      </c>
      <c r="Q173" s="159">
        <f t="shared" si="38"/>
        <v>6300</v>
      </c>
      <c r="R173" s="140">
        <v>0</v>
      </c>
      <c r="S173" s="151">
        <f t="shared" si="39"/>
        <v>0</v>
      </c>
      <c r="T173" s="142">
        <v>50</v>
      </c>
      <c r="U173" s="151">
        <f t="shared" si="40"/>
        <v>3150</v>
      </c>
      <c r="V173" s="140">
        <v>0</v>
      </c>
      <c r="W173" s="151">
        <f t="shared" si="41"/>
        <v>0</v>
      </c>
      <c r="X173" s="142">
        <v>50</v>
      </c>
      <c r="Y173" s="151">
        <f t="shared" si="42"/>
        <v>3150</v>
      </c>
      <c r="Z173" s="146"/>
      <c r="AA173" s="155">
        <f t="shared" si="43"/>
        <v>100</v>
      </c>
      <c r="AB173" s="155">
        <f t="shared" si="34"/>
        <v>0</v>
      </c>
      <c r="AC173" s="149">
        <f t="shared" si="46"/>
        <v>25</v>
      </c>
      <c r="AD173" s="156">
        <f t="shared" si="48"/>
        <v>1575</v>
      </c>
      <c r="AG173" s="149">
        <v>127</v>
      </c>
      <c r="AH173" s="149">
        <v>8001</v>
      </c>
      <c r="AJ173" s="206">
        <f t="shared" si="37"/>
        <v>152.39999999999998</v>
      </c>
      <c r="AL173" s="149">
        <f t="shared" si="47"/>
        <v>0</v>
      </c>
    </row>
    <row r="174" spans="1:38" ht="15">
      <c r="A174" s="140">
        <v>10949</v>
      </c>
      <c r="B174" s="140">
        <v>162</v>
      </c>
      <c r="C174" s="146" t="s">
        <v>847</v>
      </c>
      <c r="D174" s="147" t="s">
        <v>846</v>
      </c>
      <c r="E174" s="191" t="s">
        <v>106</v>
      </c>
      <c r="F174" s="153">
        <v>1</v>
      </c>
      <c r="G174" s="154" t="s">
        <v>1248</v>
      </c>
      <c r="H174" s="140">
        <v>1</v>
      </c>
      <c r="I174" s="140" t="s">
        <v>377</v>
      </c>
      <c r="J174" s="140">
        <v>4</v>
      </c>
      <c r="K174" s="142">
        <v>4</v>
      </c>
      <c r="L174" s="142">
        <v>7.199999999999999</v>
      </c>
      <c r="M174" s="143">
        <v>8</v>
      </c>
      <c r="N174" s="144">
        <v>0</v>
      </c>
      <c r="O174" s="143">
        <f t="shared" si="33"/>
        <v>8</v>
      </c>
      <c r="P174" s="140">
        <v>2565</v>
      </c>
      <c r="Q174" s="159">
        <f t="shared" si="38"/>
        <v>20520</v>
      </c>
      <c r="R174" s="140">
        <v>2</v>
      </c>
      <c r="S174" s="151">
        <f t="shared" si="39"/>
        <v>5130</v>
      </c>
      <c r="T174" s="142">
        <v>2</v>
      </c>
      <c r="U174" s="151">
        <f t="shared" si="40"/>
        <v>5130</v>
      </c>
      <c r="V174" s="140">
        <v>2</v>
      </c>
      <c r="W174" s="151">
        <f t="shared" si="41"/>
        <v>5130</v>
      </c>
      <c r="X174" s="142">
        <v>2</v>
      </c>
      <c r="Y174" s="151">
        <f t="shared" si="42"/>
        <v>5130</v>
      </c>
      <c r="Z174" s="146"/>
      <c r="AA174" s="155">
        <f t="shared" si="43"/>
        <v>8</v>
      </c>
      <c r="AB174" s="155">
        <f t="shared" si="34"/>
        <v>0</v>
      </c>
      <c r="AC174" s="149">
        <f t="shared" si="46"/>
        <v>2</v>
      </c>
      <c r="AD174" s="156">
        <f t="shared" si="48"/>
        <v>5130</v>
      </c>
      <c r="AG174" s="149">
        <v>6</v>
      </c>
      <c r="AH174" s="149">
        <v>15390</v>
      </c>
      <c r="AJ174" s="206">
        <f t="shared" si="37"/>
        <v>7.199999999999999</v>
      </c>
      <c r="AL174" s="149">
        <f t="shared" si="47"/>
        <v>0</v>
      </c>
    </row>
    <row r="175" spans="1:38" ht="15">
      <c r="A175" s="140">
        <v>10949</v>
      </c>
      <c r="B175" s="140">
        <v>163</v>
      </c>
      <c r="C175" s="146" t="s">
        <v>849</v>
      </c>
      <c r="D175" s="147" t="s">
        <v>848</v>
      </c>
      <c r="E175" s="152" t="s">
        <v>498</v>
      </c>
      <c r="F175" s="153">
        <v>1</v>
      </c>
      <c r="G175" s="146" t="s">
        <v>1245</v>
      </c>
      <c r="H175" s="140">
        <v>500</v>
      </c>
      <c r="I175" s="140" t="s">
        <v>376</v>
      </c>
      <c r="J175" s="140">
        <v>1013</v>
      </c>
      <c r="K175" s="142">
        <v>1078</v>
      </c>
      <c r="L175" s="142">
        <v>1365.6</v>
      </c>
      <c r="M175" s="143">
        <v>1500</v>
      </c>
      <c r="N175" s="144">
        <v>300</v>
      </c>
      <c r="O175" s="143">
        <f t="shared" si="33"/>
        <v>1200</v>
      </c>
      <c r="P175" s="140">
        <v>380</v>
      </c>
      <c r="Q175" s="159">
        <f t="shared" si="38"/>
        <v>456000</v>
      </c>
      <c r="R175" s="140">
        <v>300</v>
      </c>
      <c r="S175" s="151">
        <f t="shared" si="39"/>
        <v>114000</v>
      </c>
      <c r="T175" s="142">
        <v>300</v>
      </c>
      <c r="U175" s="151">
        <f t="shared" si="40"/>
        <v>114000</v>
      </c>
      <c r="V175" s="140">
        <v>300</v>
      </c>
      <c r="W175" s="151">
        <f t="shared" si="41"/>
        <v>114000</v>
      </c>
      <c r="X175" s="142">
        <v>300</v>
      </c>
      <c r="Y175" s="151">
        <f t="shared" si="42"/>
        <v>114000</v>
      </c>
      <c r="Z175" s="146"/>
      <c r="AA175" s="155">
        <f t="shared" si="43"/>
        <v>1200</v>
      </c>
      <c r="AB175" s="155">
        <f t="shared" si="34"/>
        <v>0</v>
      </c>
      <c r="AC175" s="149">
        <f t="shared" si="46"/>
        <v>300</v>
      </c>
      <c r="AD175" s="156">
        <f t="shared" si="48"/>
        <v>114000</v>
      </c>
      <c r="AG175" s="149">
        <v>1138</v>
      </c>
      <c r="AH175" s="149">
        <v>392220</v>
      </c>
      <c r="AJ175" s="206">
        <f t="shared" si="37"/>
        <v>1365.6</v>
      </c>
      <c r="AL175" s="149">
        <f t="shared" si="47"/>
        <v>0</v>
      </c>
    </row>
    <row r="176" spans="1:38" ht="15">
      <c r="A176" s="140">
        <v>10949</v>
      </c>
      <c r="B176" s="140">
        <v>164</v>
      </c>
      <c r="C176" s="146" t="s">
        <v>851</v>
      </c>
      <c r="D176" s="147" t="s">
        <v>850</v>
      </c>
      <c r="E176" s="191" t="s">
        <v>108</v>
      </c>
      <c r="F176" s="153">
        <v>1</v>
      </c>
      <c r="G176" s="154" t="s">
        <v>1245</v>
      </c>
      <c r="H176" s="140">
        <v>500</v>
      </c>
      <c r="I176" s="140" t="s">
        <v>376</v>
      </c>
      <c r="J176" s="140">
        <v>106</v>
      </c>
      <c r="K176" s="142">
        <v>84</v>
      </c>
      <c r="L176" s="142">
        <v>67.19999999999999</v>
      </c>
      <c r="M176" s="143">
        <v>70</v>
      </c>
      <c r="N176" s="144">
        <v>20</v>
      </c>
      <c r="O176" s="143">
        <f t="shared" si="33"/>
        <v>50</v>
      </c>
      <c r="P176" s="140">
        <v>126.45</v>
      </c>
      <c r="Q176" s="159">
        <f t="shared" si="38"/>
        <v>6322.5</v>
      </c>
      <c r="R176" s="140">
        <v>15</v>
      </c>
      <c r="S176" s="151">
        <f t="shared" si="39"/>
        <v>1896.75</v>
      </c>
      <c r="T176" s="142">
        <v>10</v>
      </c>
      <c r="U176" s="151">
        <f t="shared" si="40"/>
        <v>1264.5</v>
      </c>
      <c r="V176" s="140">
        <v>15</v>
      </c>
      <c r="W176" s="151">
        <f t="shared" si="41"/>
        <v>1896.75</v>
      </c>
      <c r="X176" s="142">
        <v>10</v>
      </c>
      <c r="Y176" s="151">
        <f t="shared" si="42"/>
        <v>1264.5</v>
      </c>
      <c r="Z176" s="146"/>
      <c r="AA176" s="155">
        <f t="shared" si="43"/>
        <v>50</v>
      </c>
      <c r="AB176" s="155">
        <f t="shared" si="34"/>
        <v>0</v>
      </c>
      <c r="AC176" s="149">
        <f t="shared" si="46"/>
        <v>12.5</v>
      </c>
      <c r="AD176" s="156">
        <f t="shared" si="48"/>
        <v>1580.625</v>
      </c>
      <c r="AG176" s="149">
        <v>56</v>
      </c>
      <c r="AH176" s="149">
        <v>7081.199999999998</v>
      </c>
      <c r="AJ176" s="206">
        <f t="shared" si="37"/>
        <v>67.19999999999999</v>
      </c>
      <c r="AL176" s="149">
        <f t="shared" si="47"/>
        <v>0</v>
      </c>
    </row>
    <row r="177" spans="1:38" ht="15">
      <c r="A177" s="140">
        <v>10949</v>
      </c>
      <c r="B177" s="140">
        <v>165</v>
      </c>
      <c r="C177" s="146" t="s">
        <v>853</v>
      </c>
      <c r="D177" s="147" t="s">
        <v>852</v>
      </c>
      <c r="E177" s="152" t="s">
        <v>499</v>
      </c>
      <c r="F177" s="153">
        <v>1</v>
      </c>
      <c r="G177" s="146" t="s">
        <v>1256</v>
      </c>
      <c r="H177" s="140">
        <v>1</v>
      </c>
      <c r="I177" s="140" t="s">
        <v>486</v>
      </c>
      <c r="J177" s="140">
        <v>1490</v>
      </c>
      <c r="K177" s="142">
        <v>680</v>
      </c>
      <c r="L177" s="142">
        <v>888</v>
      </c>
      <c r="M177" s="143">
        <v>1000</v>
      </c>
      <c r="N177" s="144">
        <v>200</v>
      </c>
      <c r="O177" s="143">
        <f t="shared" si="33"/>
        <v>800</v>
      </c>
      <c r="P177" s="140">
        <v>51.36</v>
      </c>
      <c r="Q177" s="159">
        <f t="shared" si="38"/>
        <v>41088</v>
      </c>
      <c r="R177" s="140">
        <v>200</v>
      </c>
      <c r="S177" s="151">
        <f t="shared" si="39"/>
        <v>10272</v>
      </c>
      <c r="T177" s="142">
        <v>200</v>
      </c>
      <c r="U177" s="151">
        <f t="shared" si="40"/>
        <v>10272</v>
      </c>
      <c r="V177" s="140">
        <v>200</v>
      </c>
      <c r="W177" s="151">
        <f t="shared" si="41"/>
        <v>10272</v>
      </c>
      <c r="X177" s="142">
        <v>200</v>
      </c>
      <c r="Y177" s="151">
        <f t="shared" si="42"/>
        <v>10272</v>
      </c>
      <c r="Z177" s="146"/>
      <c r="AA177" s="155">
        <f t="shared" si="43"/>
        <v>800</v>
      </c>
      <c r="AB177" s="155">
        <f t="shared" si="34"/>
        <v>0</v>
      </c>
      <c r="AC177" s="149">
        <f t="shared" si="46"/>
        <v>200</v>
      </c>
      <c r="AD177" s="156">
        <f t="shared" si="48"/>
        <v>10272</v>
      </c>
      <c r="AG177" s="149">
        <v>740</v>
      </c>
      <c r="AH177" s="149">
        <v>35520</v>
      </c>
      <c r="AJ177" s="206">
        <f t="shared" si="37"/>
        <v>888</v>
      </c>
      <c r="AL177" s="149">
        <f t="shared" si="47"/>
        <v>0</v>
      </c>
    </row>
    <row r="178" spans="1:38" ht="15">
      <c r="A178" s="140">
        <v>10949</v>
      </c>
      <c r="B178" s="140">
        <v>166</v>
      </c>
      <c r="C178" s="146"/>
      <c r="D178" s="147"/>
      <c r="E178" s="152" t="s">
        <v>1493</v>
      </c>
      <c r="F178" s="153">
        <v>1</v>
      </c>
      <c r="G178" s="146" t="s">
        <v>1245</v>
      </c>
      <c r="H178" s="140">
        <v>50</v>
      </c>
      <c r="I178" s="140" t="s">
        <v>376</v>
      </c>
      <c r="J178" s="140">
        <v>2</v>
      </c>
      <c r="K178" s="142">
        <v>2</v>
      </c>
      <c r="L178" s="142">
        <v>4.800000000000001</v>
      </c>
      <c r="M178" s="143">
        <v>5</v>
      </c>
      <c r="N178" s="144">
        <v>0</v>
      </c>
      <c r="O178" s="143">
        <f t="shared" si="33"/>
        <v>5</v>
      </c>
      <c r="P178" s="140">
        <v>180</v>
      </c>
      <c r="Q178" s="159">
        <f t="shared" si="38"/>
        <v>900</v>
      </c>
      <c r="R178" s="140">
        <v>3</v>
      </c>
      <c r="S178" s="151">
        <f t="shared" si="39"/>
        <v>540</v>
      </c>
      <c r="T178" s="142">
        <v>0</v>
      </c>
      <c r="U178" s="151">
        <f t="shared" si="40"/>
        <v>0</v>
      </c>
      <c r="V178" s="140">
        <v>2</v>
      </c>
      <c r="W178" s="151">
        <f t="shared" si="41"/>
        <v>360</v>
      </c>
      <c r="X178" s="142">
        <v>0</v>
      </c>
      <c r="Y178" s="151">
        <f t="shared" si="42"/>
        <v>0</v>
      </c>
      <c r="Z178" s="146"/>
      <c r="AA178" s="155">
        <f>R178+T178+V178+X178</f>
        <v>5</v>
      </c>
      <c r="AB178" s="155">
        <f>O178-AA178</f>
        <v>0</v>
      </c>
      <c r="AC178" s="149">
        <f>O178/4</f>
        <v>1.25</v>
      </c>
      <c r="AD178" s="156"/>
      <c r="AG178" s="149">
        <v>4</v>
      </c>
      <c r="AH178" s="149">
        <v>2248.02</v>
      </c>
      <c r="AJ178" s="206">
        <f t="shared" si="37"/>
        <v>4.800000000000001</v>
      </c>
      <c r="AL178" s="149">
        <f t="shared" si="47"/>
        <v>0</v>
      </c>
    </row>
    <row r="179" spans="1:38" ht="15">
      <c r="A179" s="140">
        <v>10949</v>
      </c>
      <c r="B179" s="140">
        <v>167</v>
      </c>
      <c r="C179" s="146" t="s">
        <v>856</v>
      </c>
      <c r="D179" s="147" t="s">
        <v>854</v>
      </c>
      <c r="E179" s="191" t="s">
        <v>109</v>
      </c>
      <c r="F179" s="153">
        <v>1</v>
      </c>
      <c r="G179" s="154" t="s">
        <v>1245</v>
      </c>
      <c r="H179" s="140">
        <v>1000</v>
      </c>
      <c r="I179" s="140" t="s">
        <v>376</v>
      </c>
      <c r="J179" s="140">
        <v>28</v>
      </c>
      <c r="K179" s="142">
        <v>26</v>
      </c>
      <c r="L179" s="142">
        <v>24</v>
      </c>
      <c r="M179" s="143">
        <v>27</v>
      </c>
      <c r="N179" s="144">
        <v>7</v>
      </c>
      <c r="O179" s="143">
        <f t="shared" si="33"/>
        <v>20</v>
      </c>
      <c r="P179" s="159">
        <v>120</v>
      </c>
      <c r="Q179" s="159">
        <f t="shared" si="38"/>
        <v>2400</v>
      </c>
      <c r="R179" s="140">
        <v>5</v>
      </c>
      <c r="S179" s="151">
        <f t="shared" si="39"/>
        <v>600</v>
      </c>
      <c r="T179" s="142">
        <v>5</v>
      </c>
      <c r="U179" s="151">
        <f t="shared" si="40"/>
        <v>600</v>
      </c>
      <c r="V179" s="140">
        <v>5</v>
      </c>
      <c r="W179" s="151">
        <f t="shared" si="41"/>
        <v>600</v>
      </c>
      <c r="X179" s="142">
        <v>5</v>
      </c>
      <c r="Y179" s="151">
        <f t="shared" si="42"/>
        <v>600</v>
      </c>
      <c r="Z179" s="146"/>
      <c r="AA179" s="155">
        <f t="shared" si="43"/>
        <v>20</v>
      </c>
      <c r="AB179" s="155">
        <f t="shared" si="34"/>
        <v>0</v>
      </c>
      <c r="AC179" s="149">
        <f t="shared" si="46"/>
        <v>5</v>
      </c>
      <c r="AD179" s="156">
        <f t="shared" si="48"/>
        <v>600</v>
      </c>
      <c r="AG179" s="149">
        <v>20</v>
      </c>
      <c r="AH179" s="149">
        <v>1963.4199999999998</v>
      </c>
      <c r="AJ179" s="206">
        <f t="shared" si="37"/>
        <v>24</v>
      </c>
      <c r="AL179" s="149">
        <f t="shared" si="47"/>
        <v>0</v>
      </c>
    </row>
    <row r="180" spans="1:38" ht="15">
      <c r="A180" s="140">
        <v>10949</v>
      </c>
      <c r="B180" s="140">
        <v>168</v>
      </c>
      <c r="C180" s="146" t="s">
        <v>855</v>
      </c>
      <c r="D180" s="147" t="s">
        <v>854</v>
      </c>
      <c r="E180" s="191" t="s">
        <v>110</v>
      </c>
      <c r="F180" s="153">
        <v>1</v>
      </c>
      <c r="G180" s="154" t="s">
        <v>1245</v>
      </c>
      <c r="H180" s="140">
        <v>500</v>
      </c>
      <c r="I180" s="140" t="s">
        <v>376</v>
      </c>
      <c r="J180" s="140">
        <v>0</v>
      </c>
      <c r="K180" s="142">
        <v>0</v>
      </c>
      <c r="L180" s="142">
        <v>0</v>
      </c>
      <c r="M180" s="143">
        <v>0</v>
      </c>
      <c r="N180" s="144">
        <v>0</v>
      </c>
      <c r="O180" s="143">
        <f t="shared" si="33"/>
        <v>0</v>
      </c>
      <c r="P180" s="140">
        <v>1330</v>
      </c>
      <c r="Q180" s="159">
        <f t="shared" si="38"/>
        <v>0</v>
      </c>
      <c r="R180" s="140">
        <v>0</v>
      </c>
      <c r="S180" s="151">
        <f t="shared" si="39"/>
        <v>0</v>
      </c>
      <c r="T180" s="142">
        <v>0</v>
      </c>
      <c r="U180" s="151">
        <f t="shared" si="40"/>
        <v>0</v>
      </c>
      <c r="V180" s="140">
        <v>0</v>
      </c>
      <c r="W180" s="151">
        <f t="shared" si="41"/>
        <v>0</v>
      </c>
      <c r="X180" s="142">
        <v>0</v>
      </c>
      <c r="Y180" s="151">
        <f t="shared" si="42"/>
        <v>0</v>
      </c>
      <c r="Z180" s="146"/>
      <c r="AA180" s="155">
        <f t="shared" si="43"/>
        <v>0</v>
      </c>
      <c r="AB180" s="155">
        <f t="shared" si="34"/>
        <v>0</v>
      </c>
      <c r="AC180" s="149">
        <f t="shared" si="46"/>
        <v>0</v>
      </c>
      <c r="AD180" s="156">
        <f t="shared" si="48"/>
        <v>0</v>
      </c>
      <c r="AJ180" s="206">
        <f t="shared" si="37"/>
        <v>0</v>
      </c>
      <c r="AL180" s="149">
        <f t="shared" si="47"/>
        <v>0</v>
      </c>
    </row>
    <row r="181" spans="1:38" ht="15">
      <c r="A181" s="140">
        <v>10949</v>
      </c>
      <c r="B181" s="140">
        <v>169</v>
      </c>
      <c r="C181" s="146" t="s">
        <v>858</v>
      </c>
      <c r="D181" s="147" t="s">
        <v>857</v>
      </c>
      <c r="E181" s="191" t="s">
        <v>111</v>
      </c>
      <c r="F181" s="153">
        <v>1</v>
      </c>
      <c r="G181" s="154" t="s">
        <v>1248</v>
      </c>
      <c r="H181" s="140">
        <v>1</v>
      </c>
      <c r="I181" s="140" t="s">
        <v>389</v>
      </c>
      <c r="J181" s="140">
        <v>480</v>
      </c>
      <c r="K181" s="142">
        <v>370</v>
      </c>
      <c r="L181" s="142">
        <v>456</v>
      </c>
      <c r="M181" s="143">
        <v>460</v>
      </c>
      <c r="N181" s="144">
        <v>60</v>
      </c>
      <c r="O181" s="143">
        <f t="shared" si="33"/>
        <v>400</v>
      </c>
      <c r="P181" s="140">
        <v>10.25</v>
      </c>
      <c r="Q181" s="159">
        <f t="shared" si="38"/>
        <v>4100</v>
      </c>
      <c r="R181" s="140">
        <v>100</v>
      </c>
      <c r="S181" s="151">
        <f t="shared" si="39"/>
        <v>1025</v>
      </c>
      <c r="T181" s="142">
        <v>100</v>
      </c>
      <c r="U181" s="151">
        <f t="shared" si="40"/>
        <v>1025</v>
      </c>
      <c r="V181" s="140">
        <v>100</v>
      </c>
      <c r="W181" s="151">
        <f t="shared" si="41"/>
        <v>1025</v>
      </c>
      <c r="X181" s="142">
        <v>100</v>
      </c>
      <c r="Y181" s="151">
        <f t="shared" si="42"/>
        <v>1025</v>
      </c>
      <c r="Z181" s="146"/>
      <c r="AA181" s="155">
        <f t="shared" si="43"/>
        <v>400</v>
      </c>
      <c r="AB181" s="155">
        <f t="shared" si="34"/>
        <v>0</v>
      </c>
      <c r="AC181" s="149">
        <f t="shared" si="46"/>
        <v>100</v>
      </c>
      <c r="AD181" s="156">
        <f t="shared" si="48"/>
        <v>1025</v>
      </c>
      <c r="AG181" s="149">
        <v>380</v>
      </c>
      <c r="AH181" s="149">
        <v>3895</v>
      </c>
      <c r="AJ181" s="206">
        <f t="shared" si="37"/>
        <v>456</v>
      </c>
      <c r="AL181" s="149">
        <f t="shared" si="47"/>
        <v>0</v>
      </c>
    </row>
    <row r="182" spans="1:38" ht="15">
      <c r="A182" s="140">
        <v>10949</v>
      </c>
      <c r="B182" s="140">
        <v>170</v>
      </c>
      <c r="C182" s="146" t="s">
        <v>860</v>
      </c>
      <c r="D182" s="147" t="s">
        <v>859</v>
      </c>
      <c r="E182" s="191" t="s">
        <v>112</v>
      </c>
      <c r="F182" s="153">
        <v>1</v>
      </c>
      <c r="G182" s="154" t="s">
        <v>1245</v>
      </c>
      <c r="H182" s="140">
        <v>1000</v>
      </c>
      <c r="I182" s="140" t="s">
        <v>376</v>
      </c>
      <c r="J182" s="140">
        <v>80</v>
      </c>
      <c r="K182" s="142">
        <v>82</v>
      </c>
      <c r="L182" s="142">
        <v>33.599999999999994</v>
      </c>
      <c r="M182" s="143">
        <v>40</v>
      </c>
      <c r="N182" s="144">
        <v>0</v>
      </c>
      <c r="O182" s="143">
        <f t="shared" si="33"/>
        <v>40</v>
      </c>
      <c r="P182" s="159">
        <v>400</v>
      </c>
      <c r="Q182" s="159">
        <f t="shared" si="38"/>
        <v>16000</v>
      </c>
      <c r="R182" s="140">
        <v>10</v>
      </c>
      <c r="S182" s="151">
        <f t="shared" si="39"/>
        <v>4000</v>
      </c>
      <c r="T182" s="142">
        <v>10</v>
      </c>
      <c r="U182" s="151">
        <f t="shared" si="40"/>
        <v>4000</v>
      </c>
      <c r="V182" s="140">
        <v>10</v>
      </c>
      <c r="W182" s="151">
        <f t="shared" si="41"/>
        <v>4000</v>
      </c>
      <c r="X182" s="142">
        <v>10</v>
      </c>
      <c r="Y182" s="151">
        <f t="shared" si="42"/>
        <v>4000</v>
      </c>
      <c r="Z182" s="146"/>
      <c r="AA182" s="155">
        <f t="shared" si="43"/>
        <v>40</v>
      </c>
      <c r="AB182" s="155">
        <f t="shared" si="34"/>
        <v>0</v>
      </c>
      <c r="AC182" s="149">
        <f t="shared" si="46"/>
        <v>10</v>
      </c>
      <c r="AD182" s="156">
        <f t="shared" si="48"/>
        <v>4000</v>
      </c>
      <c r="AG182" s="149">
        <v>28</v>
      </c>
      <c r="AH182" s="149">
        <v>11200</v>
      </c>
      <c r="AJ182" s="206">
        <f t="shared" si="37"/>
        <v>33.599999999999994</v>
      </c>
      <c r="AL182" s="149">
        <f t="shared" si="47"/>
        <v>0</v>
      </c>
    </row>
    <row r="183" spans="1:38" ht="15">
      <c r="A183" s="140">
        <v>10949</v>
      </c>
      <c r="B183" s="140">
        <v>171</v>
      </c>
      <c r="C183" s="146"/>
      <c r="D183" s="147"/>
      <c r="E183" s="191" t="s">
        <v>113</v>
      </c>
      <c r="F183" s="153">
        <v>1</v>
      </c>
      <c r="G183" s="154" t="s">
        <v>1245</v>
      </c>
      <c r="H183" s="140">
        <v>500</v>
      </c>
      <c r="I183" s="140" t="s">
        <v>376</v>
      </c>
      <c r="J183" s="140">
        <v>268</v>
      </c>
      <c r="K183" s="142">
        <v>226</v>
      </c>
      <c r="L183" s="142">
        <v>218.39999999999998</v>
      </c>
      <c r="M183" s="143">
        <v>250</v>
      </c>
      <c r="N183" s="144">
        <v>50</v>
      </c>
      <c r="O183" s="143">
        <f t="shared" si="33"/>
        <v>200</v>
      </c>
      <c r="P183" s="140">
        <v>400</v>
      </c>
      <c r="Q183" s="159">
        <f t="shared" si="38"/>
        <v>80000</v>
      </c>
      <c r="R183" s="140">
        <v>50</v>
      </c>
      <c r="S183" s="151">
        <f t="shared" si="39"/>
        <v>20000</v>
      </c>
      <c r="T183" s="142">
        <v>50</v>
      </c>
      <c r="U183" s="151">
        <f t="shared" si="40"/>
        <v>20000</v>
      </c>
      <c r="V183" s="140">
        <v>50</v>
      </c>
      <c r="W183" s="151">
        <f t="shared" si="41"/>
        <v>20000</v>
      </c>
      <c r="X183" s="142">
        <v>50</v>
      </c>
      <c r="Y183" s="151">
        <f t="shared" si="42"/>
        <v>20000</v>
      </c>
      <c r="Z183" s="146"/>
      <c r="AA183" s="155">
        <f t="shared" si="43"/>
        <v>200</v>
      </c>
      <c r="AB183" s="155">
        <f t="shared" si="34"/>
        <v>0</v>
      </c>
      <c r="AC183" s="149">
        <f t="shared" si="46"/>
        <v>50</v>
      </c>
      <c r="AD183" s="156">
        <f t="shared" si="48"/>
        <v>20000</v>
      </c>
      <c r="AG183" s="149">
        <v>182</v>
      </c>
      <c r="AH183" s="149">
        <v>54872.5</v>
      </c>
      <c r="AJ183" s="206">
        <f t="shared" si="37"/>
        <v>218.39999999999998</v>
      </c>
      <c r="AL183" s="149">
        <f t="shared" si="47"/>
        <v>0</v>
      </c>
    </row>
    <row r="184" spans="1:38" ht="15">
      <c r="A184" s="140">
        <v>10949</v>
      </c>
      <c r="B184" s="140">
        <v>172</v>
      </c>
      <c r="C184" s="146"/>
      <c r="D184" s="147"/>
      <c r="E184" s="191" t="s">
        <v>114</v>
      </c>
      <c r="F184" s="153">
        <v>1</v>
      </c>
      <c r="G184" s="154" t="s">
        <v>1249</v>
      </c>
      <c r="H184" s="140">
        <v>60</v>
      </c>
      <c r="I184" s="140" t="s">
        <v>1250</v>
      </c>
      <c r="J184" s="140">
        <v>340</v>
      </c>
      <c r="K184" s="142">
        <v>300</v>
      </c>
      <c r="L184" s="142">
        <v>288</v>
      </c>
      <c r="M184" s="143">
        <v>300</v>
      </c>
      <c r="N184" s="144">
        <v>100</v>
      </c>
      <c r="O184" s="143">
        <f t="shared" si="33"/>
        <v>200</v>
      </c>
      <c r="P184" s="140">
        <v>12</v>
      </c>
      <c r="Q184" s="159">
        <f t="shared" si="38"/>
        <v>2400</v>
      </c>
      <c r="R184" s="140">
        <v>50</v>
      </c>
      <c r="S184" s="151">
        <f t="shared" si="39"/>
        <v>600</v>
      </c>
      <c r="T184" s="142">
        <v>50</v>
      </c>
      <c r="U184" s="151">
        <f t="shared" si="40"/>
        <v>600</v>
      </c>
      <c r="V184" s="140">
        <v>50</v>
      </c>
      <c r="W184" s="151">
        <f t="shared" si="41"/>
        <v>600</v>
      </c>
      <c r="X184" s="142">
        <v>50</v>
      </c>
      <c r="Y184" s="151">
        <f t="shared" si="42"/>
        <v>600</v>
      </c>
      <c r="Z184" s="146"/>
      <c r="AA184" s="155">
        <f t="shared" si="43"/>
        <v>200</v>
      </c>
      <c r="AB184" s="155">
        <f t="shared" si="34"/>
        <v>0</v>
      </c>
      <c r="AC184" s="149">
        <f t="shared" si="46"/>
        <v>50</v>
      </c>
      <c r="AD184" s="156">
        <f t="shared" si="48"/>
        <v>600</v>
      </c>
      <c r="AG184" s="149">
        <v>240</v>
      </c>
      <c r="AH184" s="149">
        <v>2400</v>
      </c>
      <c r="AJ184" s="206">
        <f t="shared" si="37"/>
        <v>288</v>
      </c>
      <c r="AL184" s="149">
        <f t="shared" si="47"/>
        <v>0</v>
      </c>
    </row>
    <row r="185" spans="1:38" ht="15">
      <c r="A185" s="140">
        <v>10949</v>
      </c>
      <c r="B185" s="140">
        <v>173</v>
      </c>
      <c r="C185" s="146"/>
      <c r="D185" s="147"/>
      <c r="E185" s="191" t="s">
        <v>476</v>
      </c>
      <c r="F185" s="153">
        <v>1</v>
      </c>
      <c r="G185" s="154" t="s">
        <v>1259</v>
      </c>
      <c r="H185" s="140">
        <v>1</v>
      </c>
      <c r="I185" s="140" t="s">
        <v>388</v>
      </c>
      <c r="J185" s="140">
        <v>770</v>
      </c>
      <c r="K185" s="142">
        <v>1020</v>
      </c>
      <c r="L185" s="142">
        <v>1021.1999999999999</v>
      </c>
      <c r="M185" s="143">
        <v>1050</v>
      </c>
      <c r="N185" s="144">
        <v>50</v>
      </c>
      <c r="O185" s="143">
        <f t="shared" si="33"/>
        <v>1000</v>
      </c>
      <c r="P185" s="140">
        <v>145</v>
      </c>
      <c r="Q185" s="159">
        <f t="shared" si="38"/>
        <v>145000</v>
      </c>
      <c r="R185" s="140">
        <v>250</v>
      </c>
      <c r="S185" s="151">
        <f t="shared" si="39"/>
        <v>36250</v>
      </c>
      <c r="T185" s="142">
        <v>250</v>
      </c>
      <c r="U185" s="151">
        <f t="shared" si="40"/>
        <v>36250</v>
      </c>
      <c r="V185" s="140">
        <v>250</v>
      </c>
      <c r="W185" s="151">
        <f t="shared" si="41"/>
        <v>36250</v>
      </c>
      <c r="X185" s="142">
        <v>250</v>
      </c>
      <c r="Y185" s="151">
        <f t="shared" si="42"/>
        <v>36250</v>
      </c>
      <c r="Z185" s="146"/>
      <c r="AA185" s="155">
        <f t="shared" si="43"/>
        <v>1000</v>
      </c>
      <c r="AB185" s="155">
        <f t="shared" si="34"/>
        <v>0</v>
      </c>
      <c r="AC185" s="149">
        <f t="shared" si="46"/>
        <v>250</v>
      </c>
      <c r="AD185" s="156">
        <f t="shared" si="48"/>
        <v>36250</v>
      </c>
      <c r="AG185" s="149">
        <v>851</v>
      </c>
      <c r="AH185" s="149">
        <v>119520.06999999993</v>
      </c>
      <c r="AI185" s="150" t="s">
        <v>1355</v>
      </c>
      <c r="AJ185" s="206">
        <f t="shared" si="37"/>
        <v>1021.1999999999999</v>
      </c>
      <c r="AL185" s="149">
        <f t="shared" si="47"/>
        <v>0</v>
      </c>
    </row>
    <row r="186" spans="1:38" ht="15">
      <c r="A186" s="140">
        <v>10949</v>
      </c>
      <c r="B186" s="140">
        <v>174</v>
      </c>
      <c r="C186" s="146" t="s">
        <v>862</v>
      </c>
      <c r="D186" s="147" t="s">
        <v>861</v>
      </c>
      <c r="E186" s="191" t="s">
        <v>393</v>
      </c>
      <c r="F186" s="153">
        <v>1</v>
      </c>
      <c r="G186" s="154" t="s">
        <v>1257</v>
      </c>
      <c r="H186" s="140">
        <v>1</v>
      </c>
      <c r="I186" s="140" t="s">
        <v>388</v>
      </c>
      <c r="J186" s="168">
        <v>890</v>
      </c>
      <c r="K186" s="142">
        <v>750</v>
      </c>
      <c r="L186" s="142">
        <v>465.59999999999997</v>
      </c>
      <c r="M186" s="143">
        <v>700</v>
      </c>
      <c r="N186" s="144">
        <v>200</v>
      </c>
      <c r="O186" s="143">
        <f t="shared" si="33"/>
        <v>500</v>
      </c>
      <c r="P186" s="140">
        <v>91</v>
      </c>
      <c r="Q186" s="159">
        <f t="shared" si="38"/>
        <v>45500</v>
      </c>
      <c r="R186" s="140">
        <v>130</v>
      </c>
      <c r="S186" s="151">
        <f t="shared" si="39"/>
        <v>11830</v>
      </c>
      <c r="T186" s="142">
        <v>120</v>
      </c>
      <c r="U186" s="151">
        <f t="shared" si="40"/>
        <v>10920</v>
      </c>
      <c r="V186" s="140">
        <v>130</v>
      </c>
      <c r="W186" s="151">
        <f t="shared" si="41"/>
        <v>11830</v>
      </c>
      <c r="X186" s="142">
        <v>120</v>
      </c>
      <c r="Y186" s="151">
        <f t="shared" si="42"/>
        <v>10920</v>
      </c>
      <c r="Z186" s="146"/>
      <c r="AA186" s="155">
        <f t="shared" si="43"/>
        <v>500</v>
      </c>
      <c r="AB186" s="155">
        <f t="shared" si="34"/>
        <v>0</v>
      </c>
      <c r="AC186" s="149">
        <f t="shared" si="46"/>
        <v>125</v>
      </c>
      <c r="AD186" s="156">
        <f t="shared" si="48"/>
        <v>11375</v>
      </c>
      <c r="AG186" s="149">
        <v>388</v>
      </c>
      <c r="AH186" s="149">
        <v>35308</v>
      </c>
      <c r="AI186" s="150" t="s">
        <v>1355</v>
      </c>
      <c r="AJ186" s="206">
        <f t="shared" si="37"/>
        <v>465.59999999999997</v>
      </c>
      <c r="AL186" s="149">
        <f t="shared" si="47"/>
        <v>0</v>
      </c>
    </row>
    <row r="187" spans="1:38" ht="15">
      <c r="A187" s="140">
        <v>10949</v>
      </c>
      <c r="B187" s="140">
        <v>175</v>
      </c>
      <c r="C187" s="146" t="s">
        <v>870</v>
      </c>
      <c r="D187" s="147" t="s">
        <v>869</v>
      </c>
      <c r="E187" s="191" t="s">
        <v>115</v>
      </c>
      <c r="F187" s="153">
        <v>1</v>
      </c>
      <c r="G187" s="154" t="s">
        <v>1245</v>
      </c>
      <c r="H187" s="140">
        <v>500</v>
      </c>
      <c r="I187" s="140" t="s">
        <v>376</v>
      </c>
      <c r="J187" s="140">
        <v>66</v>
      </c>
      <c r="K187" s="142">
        <v>70</v>
      </c>
      <c r="L187" s="142">
        <v>47</v>
      </c>
      <c r="M187" s="143">
        <v>60</v>
      </c>
      <c r="N187" s="144">
        <v>36</v>
      </c>
      <c r="O187" s="143">
        <v>10</v>
      </c>
      <c r="P187" s="140">
        <v>63.0216</v>
      </c>
      <c r="Q187" s="159">
        <f t="shared" si="38"/>
        <v>630.216</v>
      </c>
      <c r="R187" s="140">
        <v>5</v>
      </c>
      <c r="S187" s="151">
        <f t="shared" si="39"/>
        <v>315.108</v>
      </c>
      <c r="T187" s="142">
        <v>0</v>
      </c>
      <c r="U187" s="151">
        <f t="shared" si="40"/>
        <v>0</v>
      </c>
      <c r="V187" s="140">
        <v>5</v>
      </c>
      <c r="W187" s="151">
        <f t="shared" si="41"/>
        <v>315.108</v>
      </c>
      <c r="X187" s="142">
        <v>0</v>
      </c>
      <c r="Y187" s="151">
        <f t="shared" si="42"/>
        <v>0</v>
      </c>
      <c r="Z187" s="146"/>
      <c r="AA187" s="155">
        <f t="shared" si="43"/>
        <v>10</v>
      </c>
      <c r="AB187" s="155">
        <f t="shared" si="34"/>
        <v>0</v>
      </c>
      <c r="AC187" s="149">
        <f t="shared" si="46"/>
        <v>2.5</v>
      </c>
      <c r="AD187" s="156">
        <f t="shared" si="48"/>
        <v>157.554</v>
      </c>
      <c r="AG187" s="149">
        <v>39</v>
      </c>
      <c r="AH187" s="149">
        <v>2741.85</v>
      </c>
      <c r="AJ187" s="206">
        <f t="shared" si="37"/>
        <v>46.8</v>
      </c>
      <c r="AL187" s="149">
        <f t="shared" si="47"/>
        <v>0</v>
      </c>
    </row>
    <row r="188" spans="1:38" ht="15">
      <c r="A188" s="140">
        <v>10949</v>
      </c>
      <c r="B188" s="140">
        <v>176</v>
      </c>
      <c r="C188" s="146" t="s">
        <v>866</v>
      </c>
      <c r="D188" s="147" t="s">
        <v>865</v>
      </c>
      <c r="E188" s="191" t="s">
        <v>116</v>
      </c>
      <c r="F188" s="153">
        <v>1</v>
      </c>
      <c r="G188" s="154" t="s">
        <v>1248</v>
      </c>
      <c r="H188" s="140">
        <v>1</v>
      </c>
      <c r="I188" s="140" t="s">
        <v>392</v>
      </c>
      <c r="J188" s="140">
        <v>5693</v>
      </c>
      <c r="K188" s="142">
        <v>6278</v>
      </c>
      <c r="L188" s="142">
        <v>6744</v>
      </c>
      <c r="M188" s="143">
        <v>6800</v>
      </c>
      <c r="N188" s="144">
        <v>400</v>
      </c>
      <c r="O188" s="143">
        <f t="shared" si="33"/>
        <v>6400</v>
      </c>
      <c r="P188" s="140">
        <v>62</v>
      </c>
      <c r="Q188" s="159">
        <f t="shared" si="38"/>
        <v>396800</v>
      </c>
      <c r="R188" s="140">
        <v>1600</v>
      </c>
      <c r="S188" s="151">
        <f t="shared" si="39"/>
        <v>99200</v>
      </c>
      <c r="T188" s="142">
        <v>1600</v>
      </c>
      <c r="U188" s="151">
        <f t="shared" si="40"/>
        <v>99200</v>
      </c>
      <c r="V188" s="140">
        <v>1600</v>
      </c>
      <c r="W188" s="151">
        <f t="shared" si="41"/>
        <v>99200</v>
      </c>
      <c r="X188" s="142">
        <v>1600</v>
      </c>
      <c r="Y188" s="151">
        <f t="shared" si="42"/>
        <v>99200</v>
      </c>
      <c r="Z188" s="146"/>
      <c r="AA188" s="155">
        <f t="shared" si="43"/>
        <v>6400</v>
      </c>
      <c r="AB188" s="155">
        <f t="shared" si="34"/>
        <v>0</v>
      </c>
      <c r="AC188" s="149">
        <f t="shared" si="46"/>
        <v>1600</v>
      </c>
      <c r="AD188" s="156">
        <f t="shared" si="48"/>
        <v>99200</v>
      </c>
      <c r="AG188" s="149">
        <v>5620</v>
      </c>
      <c r="AH188" s="149">
        <v>348440</v>
      </c>
      <c r="AJ188" s="206">
        <f t="shared" si="37"/>
        <v>6744</v>
      </c>
      <c r="AL188" s="149">
        <f t="shared" si="47"/>
        <v>0</v>
      </c>
    </row>
    <row r="189" spans="1:38" ht="15">
      <c r="A189" s="140">
        <v>10949</v>
      </c>
      <c r="B189" s="140">
        <v>177</v>
      </c>
      <c r="C189" s="146" t="s">
        <v>868</v>
      </c>
      <c r="D189" s="147" t="s">
        <v>867</v>
      </c>
      <c r="E189" s="191" t="s">
        <v>459</v>
      </c>
      <c r="F189" s="153">
        <v>1</v>
      </c>
      <c r="G189" s="154" t="s">
        <v>1248</v>
      </c>
      <c r="H189" s="140">
        <v>1</v>
      </c>
      <c r="I189" s="140" t="s">
        <v>392</v>
      </c>
      <c r="J189" s="140">
        <v>4290</v>
      </c>
      <c r="K189" s="142">
        <v>4570</v>
      </c>
      <c r="L189" s="142">
        <v>5388</v>
      </c>
      <c r="M189" s="143">
        <v>5500</v>
      </c>
      <c r="N189" s="144">
        <v>700</v>
      </c>
      <c r="O189" s="143">
        <f t="shared" si="33"/>
        <v>4800</v>
      </c>
      <c r="P189" s="159">
        <v>77.8</v>
      </c>
      <c r="Q189" s="159">
        <f t="shared" si="38"/>
        <v>373440</v>
      </c>
      <c r="R189" s="140">
        <v>1200</v>
      </c>
      <c r="S189" s="151">
        <f t="shared" si="39"/>
        <v>93360</v>
      </c>
      <c r="T189" s="142">
        <v>1200</v>
      </c>
      <c r="U189" s="151">
        <f t="shared" si="40"/>
        <v>93360</v>
      </c>
      <c r="V189" s="140">
        <v>1200</v>
      </c>
      <c r="W189" s="151">
        <f t="shared" si="41"/>
        <v>93360</v>
      </c>
      <c r="X189" s="142">
        <v>1200</v>
      </c>
      <c r="Y189" s="151">
        <f t="shared" si="42"/>
        <v>93360</v>
      </c>
      <c r="Z189" s="146"/>
      <c r="AA189" s="155">
        <f t="shared" si="43"/>
        <v>4800</v>
      </c>
      <c r="AB189" s="155">
        <f t="shared" si="34"/>
        <v>0</v>
      </c>
      <c r="AC189" s="149">
        <f t="shared" si="46"/>
        <v>1200</v>
      </c>
      <c r="AD189" s="156">
        <f t="shared" si="48"/>
        <v>93360</v>
      </c>
      <c r="AG189" s="149">
        <v>4490</v>
      </c>
      <c r="AH189" s="149">
        <v>349322</v>
      </c>
      <c r="AJ189" s="206">
        <f t="shared" si="37"/>
        <v>5388</v>
      </c>
      <c r="AL189" s="149">
        <f t="shared" si="47"/>
        <v>0</v>
      </c>
    </row>
    <row r="190" spans="1:38" ht="15">
      <c r="A190" s="140">
        <v>10949</v>
      </c>
      <c r="B190" s="140">
        <v>178</v>
      </c>
      <c r="C190" s="146" t="s">
        <v>872</v>
      </c>
      <c r="D190" s="147" t="s">
        <v>871</v>
      </c>
      <c r="E190" s="191" t="s">
        <v>117</v>
      </c>
      <c r="F190" s="153">
        <v>1</v>
      </c>
      <c r="G190" s="154" t="s">
        <v>1245</v>
      </c>
      <c r="H190" s="140">
        <v>500</v>
      </c>
      <c r="I190" s="140" t="s">
        <v>376</v>
      </c>
      <c r="J190" s="140">
        <v>45</v>
      </c>
      <c r="K190" s="142">
        <v>35</v>
      </c>
      <c r="L190" s="142">
        <v>37.2</v>
      </c>
      <c r="M190" s="143">
        <v>41</v>
      </c>
      <c r="N190" s="144">
        <v>9</v>
      </c>
      <c r="O190" s="143">
        <f t="shared" si="33"/>
        <v>32</v>
      </c>
      <c r="P190" s="140">
        <v>270</v>
      </c>
      <c r="Q190" s="159">
        <f t="shared" si="38"/>
        <v>8640</v>
      </c>
      <c r="R190" s="140">
        <v>8</v>
      </c>
      <c r="S190" s="151">
        <f t="shared" si="39"/>
        <v>2160</v>
      </c>
      <c r="T190" s="142">
        <v>8</v>
      </c>
      <c r="U190" s="151">
        <f t="shared" si="40"/>
        <v>2160</v>
      </c>
      <c r="V190" s="140">
        <v>8</v>
      </c>
      <c r="W190" s="151">
        <f t="shared" si="41"/>
        <v>2160</v>
      </c>
      <c r="X190" s="142">
        <v>8</v>
      </c>
      <c r="Y190" s="151">
        <f t="shared" si="42"/>
        <v>2160</v>
      </c>
      <c r="Z190" s="146"/>
      <c r="AA190" s="155">
        <f t="shared" si="43"/>
        <v>32</v>
      </c>
      <c r="AB190" s="155">
        <f t="shared" si="34"/>
        <v>0</v>
      </c>
      <c r="AC190" s="149">
        <f t="shared" si="46"/>
        <v>8</v>
      </c>
      <c r="AD190" s="156">
        <f t="shared" si="48"/>
        <v>2160</v>
      </c>
      <c r="AG190" s="149">
        <v>31</v>
      </c>
      <c r="AH190" s="149">
        <v>8370</v>
      </c>
      <c r="AJ190" s="206">
        <f t="shared" si="37"/>
        <v>37.2</v>
      </c>
      <c r="AL190" s="149">
        <f t="shared" si="47"/>
        <v>0</v>
      </c>
    </row>
    <row r="191" spans="1:38" ht="15">
      <c r="A191" s="140">
        <v>10949</v>
      </c>
      <c r="B191" s="140">
        <v>179</v>
      </c>
      <c r="C191" s="146" t="s">
        <v>864</v>
      </c>
      <c r="D191" s="147" t="s">
        <v>863</v>
      </c>
      <c r="E191" s="191" t="s">
        <v>394</v>
      </c>
      <c r="F191" s="153">
        <v>1</v>
      </c>
      <c r="G191" s="154" t="s">
        <v>1245</v>
      </c>
      <c r="H191" s="140">
        <v>500</v>
      </c>
      <c r="I191" s="140" t="s">
        <v>376</v>
      </c>
      <c r="J191" s="140">
        <v>3</v>
      </c>
      <c r="K191" s="142">
        <v>7</v>
      </c>
      <c r="L191" s="142">
        <v>6</v>
      </c>
      <c r="M191" s="143">
        <v>6</v>
      </c>
      <c r="N191" s="144">
        <v>6</v>
      </c>
      <c r="O191" s="143">
        <f t="shared" si="33"/>
        <v>0</v>
      </c>
      <c r="P191" s="140">
        <v>304.95</v>
      </c>
      <c r="Q191" s="159">
        <f t="shared" si="38"/>
        <v>0</v>
      </c>
      <c r="R191" s="140">
        <v>0</v>
      </c>
      <c r="S191" s="151">
        <f t="shared" si="39"/>
        <v>0</v>
      </c>
      <c r="T191" s="142">
        <v>0</v>
      </c>
      <c r="U191" s="151">
        <f t="shared" si="40"/>
        <v>0</v>
      </c>
      <c r="V191" s="140">
        <v>0</v>
      </c>
      <c r="W191" s="151">
        <f t="shared" si="41"/>
        <v>0</v>
      </c>
      <c r="X191" s="142">
        <v>0</v>
      </c>
      <c r="Y191" s="151">
        <f t="shared" si="42"/>
        <v>0</v>
      </c>
      <c r="Z191" s="146"/>
      <c r="AA191" s="155">
        <f t="shared" si="43"/>
        <v>0</v>
      </c>
      <c r="AB191" s="155">
        <f t="shared" si="34"/>
        <v>0</v>
      </c>
      <c r="AC191" s="149">
        <f t="shared" si="46"/>
        <v>0</v>
      </c>
      <c r="AD191" s="156">
        <f t="shared" si="48"/>
        <v>0</v>
      </c>
      <c r="AG191" s="149">
        <v>5</v>
      </c>
      <c r="AH191" s="149">
        <v>1717.3500000000001</v>
      </c>
      <c r="AJ191" s="206">
        <f t="shared" si="37"/>
        <v>6</v>
      </c>
      <c r="AL191" s="149">
        <f t="shared" si="47"/>
        <v>0</v>
      </c>
    </row>
    <row r="192" spans="1:38" ht="15">
      <c r="A192" s="140">
        <v>10949</v>
      </c>
      <c r="B192" s="140">
        <v>180</v>
      </c>
      <c r="C192" s="146" t="s">
        <v>875</v>
      </c>
      <c r="D192" s="147" t="s">
        <v>874</v>
      </c>
      <c r="E192" s="191" t="s">
        <v>118</v>
      </c>
      <c r="F192" s="153">
        <v>1</v>
      </c>
      <c r="G192" s="154" t="s">
        <v>1245</v>
      </c>
      <c r="H192" s="140">
        <v>100</v>
      </c>
      <c r="I192" s="140" t="s">
        <v>376</v>
      </c>
      <c r="J192" s="140">
        <v>33</v>
      </c>
      <c r="K192" s="142">
        <v>29</v>
      </c>
      <c r="L192" s="142">
        <v>24</v>
      </c>
      <c r="M192" s="143">
        <v>3</v>
      </c>
      <c r="N192" s="144">
        <v>4</v>
      </c>
      <c r="O192" s="143">
        <v>0</v>
      </c>
      <c r="P192" s="140">
        <v>192.17</v>
      </c>
      <c r="Q192" s="159">
        <f t="shared" si="38"/>
        <v>0</v>
      </c>
      <c r="R192" s="140">
        <v>0</v>
      </c>
      <c r="S192" s="151">
        <f t="shared" si="39"/>
        <v>0</v>
      </c>
      <c r="T192" s="142">
        <v>0</v>
      </c>
      <c r="U192" s="151">
        <f t="shared" si="40"/>
        <v>0</v>
      </c>
      <c r="V192" s="140">
        <v>0</v>
      </c>
      <c r="W192" s="151">
        <f t="shared" si="41"/>
        <v>0</v>
      </c>
      <c r="X192" s="142">
        <v>0</v>
      </c>
      <c r="Y192" s="151">
        <f t="shared" si="42"/>
        <v>0</v>
      </c>
      <c r="Z192" s="146"/>
      <c r="AA192" s="155">
        <f t="shared" si="43"/>
        <v>0</v>
      </c>
      <c r="AB192" s="155">
        <f t="shared" si="34"/>
        <v>0</v>
      </c>
      <c r="AC192" s="149">
        <f t="shared" si="46"/>
        <v>0</v>
      </c>
      <c r="AD192" s="156">
        <f t="shared" si="48"/>
        <v>0</v>
      </c>
      <c r="AG192" s="149">
        <v>20</v>
      </c>
      <c r="AH192" s="149">
        <v>3360</v>
      </c>
      <c r="AJ192" s="206">
        <f t="shared" si="37"/>
        <v>24</v>
      </c>
      <c r="AL192" s="149">
        <f t="shared" si="47"/>
        <v>0</v>
      </c>
    </row>
    <row r="193" spans="1:38" ht="15">
      <c r="A193" s="140">
        <v>10949</v>
      </c>
      <c r="B193" s="140">
        <v>181</v>
      </c>
      <c r="C193" s="146"/>
      <c r="D193" s="147"/>
      <c r="E193" s="191" t="s">
        <v>477</v>
      </c>
      <c r="F193" s="153">
        <v>1</v>
      </c>
      <c r="G193" s="154" t="s">
        <v>1254</v>
      </c>
      <c r="H193" s="140">
        <v>100</v>
      </c>
      <c r="I193" s="140" t="s">
        <v>1250</v>
      </c>
      <c r="J193" s="140">
        <v>428</v>
      </c>
      <c r="K193" s="142">
        <v>660</v>
      </c>
      <c r="L193" s="142">
        <v>606</v>
      </c>
      <c r="M193" s="143">
        <v>630</v>
      </c>
      <c r="N193" s="144">
        <v>130</v>
      </c>
      <c r="O193" s="143">
        <f t="shared" si="33"/>
        <v>500</v>
      </c>
      <c r="P193" s="140">
        <v>42</v>
      </c>
      <c r="Q193" s="159">
        <f t="shared" si="38"/>
        <v>21000</v>
      </c>
      <c r="R193" s="140">
        <v>120</v>
      </c>
      <c r="S193" s="151">
        <f t="shared" si="39"/>
        <v>5040</v>
      </c>
      <c r="T193" s="142">
        <v>130</v>
      </c>
      <c r="U193" s="151">
        <f t="shared" si="40"/>
        <v>5460</v>
      </c>
      <c r="V193" s="140">
        <v>130</v>
      </c>
      <c r="W193" s="151">
        <f t="shared" si="41"/>
        <v>5460</v>
      </c>
      <c r="X193" s="142">
        <v>120</v>
      </c>
      <c r="Y193" s="151">
        <f t="shared" si="42"/>
        <v>5040</v>
      </c>
      <c r="Z193" s="146"/>
      <c r="AA193" s="155">
        <f t="shared" si="43"/>
        <v>500</v>
      </c>
      <c r="AB193" s="155">
        <f t="shared" si="34"/>
        <v>0</v>
      </c>
      <c r="AC193" s="149">
        <f t="shared" si="46"/>
        <v>125</v>
      </c>
      <c r="AD193" s="156">
        <f t="shared" si="48"/>
        <v>5250</v>
      </c>
      <c r="AG193" s="149">
        <v>505</v>
      </c>
      <c r="AH193" s="149">
        <v>20935</v>
      </c>
      <c r="AI193" s="150" t="s">
        <v>1352</v>
      </c>
      <c r="AJ193" s="206">
        <f t="shared" si="37"/>
        <v>606</v>
      </c>
      <c r="AL193" s="149">
        <f t="shared" si="47"/>
        <v>0</v>
      </c>
    </row>
    <row r="194" spans="1:38" ht="15">
      <c r="A194" s="140">
        <v>10949</v>
      </c>
      <c r="B194" s="140">
        <v>182</v>
      </c>
      <c r="C194" s="146"/>
      <c r="D194" s="147"/>
      <c r="E194" s="191" t="s">
        <v>1482</v>
      </c>
      <c r="F194" s="153">
        <v>2</v>
      </c>
      <c r="G194" s="154" t="s">
        <v>1247</v>
      </c>
      <c r="H194" s="140">
        <v>30</v>
      </c>
      <c r="I194" s="140" t="s">
        <v>1238</v>
      </c>
      <c r="J194" s="140">
        <v>20</v>
      </c>
      <c r="K194" s="142">
        <v>10</v>
      </c>
      <c r="L194" s="142">
        <v>0</v>
      </c>
      <c r="M194" s="143">
        <v>10</v>
      </c>
      <c r="N194" s="144">
        <v>0</v>
      </c>
      <c r="O194" s="143">
        <f t="shared" si="33"/>
        <v>10</v>
      </c>
      <c r="P194" s="140">
        <v>50</v>
      </c>
      <c r="Q194" s="159">
        <f t="shared" si="38"/>
        <v>500</v>
      </c>
      <c r="R194" s="140">
        <v>10</v>
      </c>
      <c r="S194" s="151">
        <f t="shared" si="39"/>
        <v>500</v>
      </c>
      <c r="T194" s="142">
        <v>0</v>
      </c>
      <c r="U194" s="151">
        <f t="shared" si="40"/>
        <v>0</v>
      </c>
      <c r="V194" s="140">
        <v>0</v>
      </c>
      <c r="W194" s="151">
        <f t="shared" si="41"/>
        <v>0</v>
      </c>
      <c r="X194" s="142">
        <v>0</v>
      </c>
      <c r="Y194" s="151">
        <f t="shared" si="42"/>
        <v>0</v>
      </c>
      <c r="Z194" s="146"/>
      <c r="AA194" s="155">
        <f>R194+T194+V194+X194</f>
        <v>10</v>
      </c>
      <c r="AB194" s="155">
        <f>O194-AA194</f>
        <v>0</v>
      </c>
      <c r="AC194" s="149">
        <f>O194/4</f>
        <v>2.5</v>
      </c>
      <c r="AD194" s="156"/>
      <c r="AJ194" s="206">
        <f t="shared" si="37"/>
        <v>0</v>
      </c>
      <c r="AL194" s="149">
        <f t="shared" si="47"/>
        <v>0</v>
      </c>
    </row>
    <row r="195" spans="1:36" ht="16.5" customHeight="1">
      <c r="A195" s="140">
        <v>10949</v>
      </c>
      <c r="B195" s="140">
        <v>183</v>
      </c>
      <c r="C195" s="146" t="s">
        <v>877</v>
      </c>
      <c r="D195" s="147" t="s">
        <v>876</v>
      </c>
      <c r="E195" s="152" t="s">
        <v>1353</v>
      </c>
      <c r="F195" s="140">
        <v>1</v>
      </c>
      <c r="G195" s="146" t="s">
        <v>1245</v>
      </c>
      <c r="H195" s="140">
        <v>100</v>
      </c>
      <c r="I195" s="140" t="s">
        <v>376</v>
      </c>
      <c r="J195" s="140">
        <v>14.3</v>
      </c>
      <c r="K195" s="142">
        <v>0</v>
      </c>
      <c r="L195" s="142">
        <v>9.600000000000001</v>
      </c>
      <c r="M195" s="143">
        <v>10</v>
      </c>
      <c r="N195" s="140">
        <v>0</v>
      </c>
      <c r="O195" s="143">
        <f t="shared" si="33"/>
        <v>10</v>
      </c>
      <c r="P195" s="140">
        <v>2167.82</v>
      </c>
      <c r="Q195" s="159">
        <f t="shared" si="38"/>
        <v>21678.2</v>
      </c>
      <c r="R195" s="140">
        <v>0</v>
      </c>
      <c r="S195" s="151">
        <f t="shared" si="39"/>
        <v>0</v>
      </c>
      <c r="T195" s="140">
        <v>10</v>
      </c>
      <c r="U195" s="151">
        <f t="shared" si="40"/>
        <v>21678.2</v>
      </c>
      <c r="V195" s="140">
        <v>0</v>
      </c>
      <c r="W195" s="151">
        <f t="shared" si="41"/>
        <v>0</v>
      </c>
      <c r="X195" s="140">
        <v>0</v>
      </c>
      <c r="Y195" s="151">
        <f t="shared" si="42"/>
        <v>0</v>
      </c>
      <c r="Z195" s="146"/>
      <c r="AA195" s="155">
        <f>R195+T195+V195+X195</f>
        <v>10</v>
      </c>
      <c r="AB195" s="155">
        <f>O195-AA195</f>
        <v>0</v>
      </c>
      <c r="AC195" s="149">
        <f>O195/4</f>
        <v>2.5</v>
      </c>
      <c r="AD195" s="156">
        <f t="shared" si="48"/>
        <v>5419.55</v>
      </c>
      <c r="AG195" s="149">
        <v>8</v>
      </c>
      <c r="AH195" s="149">
        <v>5648.530000000001</v>
      </c>
      <c r="AJ195" s="206">
        <f t="shared" si="37"/>
        <v>9.600000000000001</v>
      </c>
    </row>
    <row r="196" spans="1:36" ht="15">
      <c r="A196" s="140">
        <v>10949</v>
      </c>
      <c r="B196" s="140">
        <v>184</v>
      </c>
      <c r="C196" s="146" t="s">
        <v>879</v>
      </c>
      <c r="D196" s="147" t="s">
        <v>878</v>
      </c>
      <c r="E196" s="152" t="s">
        <v>1416</v>
      </c>
      <c r="F196" s="140">
        <v>1</v>
      </c>
      <c r="G196" s="146" t="s">
        <v>1245</v>
      </c>
      <c r="H196" s="140">
        <v>100</v>
      </c>
      <c r="I196" s="140" t="s">
        <v>376</v>
      </c>
      <c r="J196" s="140">
        <v>2</v>
      </c>
      <c r="K196" s="142">
        <v>0</v>
      </c>
      <c r="L196" s="142">
        <v>2.4000000000000004</v>
      </c>
      <c r="M196" s="143">
        <v>2</v>
      </c>
      <c r="N196" s="140">
        <v>0</v>
      </c>
      <c r="O196" s="143">
        <f t="shared" si="33"/>
        <v>2</v>
      </c>
      <c r="P196" s="140">
        <v>1055.02</v>
      </c>
      <c r="Q196" s="159">
        <f t="shared" si="38"/>
        <v>2110.04</v>
      </c>
      <c r="R196" s="140">
        <v>0</v>
      </c>
      <c r="S196" s="151">
        <f t="shared" si="39"/>
        <v>0</v>
      </c>
      <c r="T196" s="140">
        <v>2</v>
      </c>
      <c r="U196" s="151">
        <f t="shared" si="40"/>
        <v>2110.04</v>
      </c>
      <c r="V196" s="140">
        <v>0</v>
      </c>
      <c r="W196" s="151">
        <f t="shared" si="41"/>
        <v>0</v>
      </c>
      <c r="X196" s="140">
        <v>0</v>
      </c>
      <c r="Y196" s="151">
        <f t="shared" si="42"/>
        <v>0</v>
      </c>
      <c r="Z196" s="146"/>
      <c r="AA196" s="155">
        <f>R196+T196+V196+X196</f>
        <v>2</v>
      </c>
      <c r="AB196" s="155">
        <f>O196-AA196</f>
        <v>0</v>
      </c>
      <c r="AC196" s="149">
        <f>O196/4</f>
        <v>0.5</v>
      </c>
      <c r="AD196" s="156"/>
      <c r="AG196" s="149">
        <v>2</v>
      </c>
      <c r="AH196" s="149">
        <v>1230</v>
      </c>
      <c r="AJ196" s="206">
        <f t="shared" si="37"/>
        <v>2.4000000000000004</v>
      </c>
    </row>
    <row r="197" spans="1:36" ht="15">
      <c r="A197" s="140">
        <v>10949</v>
      </c>
      <c r="B197" s="140">
        <v>185</v>
      </c>
      <c r="C197" s="146"/>
      <c r="D197" s="147"/>
      <c r="E197" s="152" t="s">
        <v>1485</v>
      </c>
      <c r="F197" s="140">
        <v>1</v>
      </c>
      <c r="G197" s="146" t="s">
        <v>1245</v>
      </c>
      <c r="H197" s="140">
        <v>100</v>
      </c>
      <c r="I197" s="140" t="s">
        <v>376</v>
      </c>
      <c r="J197" s="140">
        <v>1</v>
      </c>
      <c r="K197" s="142">
        <v>5</v>
      </c>
      <c r="L197" s="142">
        <v>7.199999999999999</v>
      </c>
      <c r="M197" s="143">
        <v>8</v>
      </c>
      <c r="N197" s="140">
        <v>9</v>
      </c>
      <c r="O197" s="143">
        <v>0</v>
      </c>
      <c r="P197" s="140">
        <v>963</v>
      </c>
      <c r="Q197" s="159">
        <f t="shared" si="38"/>
        <v>0</v>
      </c>
      <c r="R197" s="140">
        <v>0</v>
      </c>
      <c r="S197" s="151">
        <f t="shared" si="39"/>
        <v>0</v>
      </c>
      <c r="T197" s="140">
        <v>0</v>
      </c>
      <c r="U197" s="151">
        <f t="shared" si="40"/>
        <v>0</v>
      </c>
      <c r="V197" s="140">
        <v>0</v>
      </c>
      <c r="W197" s="151">
        <f t="shared" si="41"/>
        <v>0</v>
      </c>
      <c r="X197" s="140">
        <v>0</v>
      </c>
      <c r="Y197" s="151">
        <f t="shared" si="42"/>
        <v>0</v>
      </c>
      <c r="Z197" s="146"/>
      <c r="AA197" s="155">
        <f>R197+T197+V197+X197</f>
        <v>0</v>
      </c>
      <c r="AB197" s="155">
        <f>O197-AA197</f>
        <v>0</v>
      </c>
      <c r="AC197" s="149">
        <f>O197/4</f>
        <v>0</v>
      </c>
      <c r="AD197" s="156"/>
      <c r="AG197" s="149">
        <v>6</v>
      </c>
      <c r="AH197" s="149">
        <v>5778</v>
      </c>
      <c r="AJ197" s="206">
        <f t="shared" si="37"/>
        <v>7.199999999999999</v>
      </c>
    </row>
    <row r="198" spans="1:38" ht="15">
      <c r="A198" s="130" t="s">
        <v>1199</v>
      </c>
      <c r="B198" s="130" t="s">
        <v>2</v>
      </c>
      <c r="C198" s="130" t="s">
        <v>1200</v>
      </c>
      <c r="D198" s="198" t="s">
        <v>1201</v>
      </c>
      <c r="E198" s="134" t="s">
        <v>1285</v>
      </c>
      <c r="F198" s="134" t="s">
        <v>1295</v>
      </c>
      <c r="G198" s="134" t="s">
        <v>1202</v>
      </c>
      <c r="H198" s="130" t="s">
        <v>1579</v>
      </c>
      <c r="I198" s="130" t="s">
        <v>1203</v>
      </c>
      <c r="J198" s="199"/>
      <c r="K198" s="131" t="s">
        <v>1205</v>
      </c>
      <c r="L198" s="132"/>
      <c r="M198" s="133" t="s">
        <v>0</v>
      </c>
      <c r="N198" s="134" t="s">
        <v>1214</v>
      </c>
      <c r="O198" s="133" t="s">
        <v>0</v>
      </c>
      <c r="P198" s="130" t="s">
        <v>1390</v>
      </c>
      <c r="Q198" s="200" t="s">
        <v>1206</v>
      </c>
      <c r="R198" s="201" t="s">
        <v>1289</v>
      </c>
      <c r="S198" s="132"/>
      <c r="T198" s="201" t="s">
        <v>1290</v>
      </c>
      <c r="U198" s="202"/>
      <c r="V198" s="201" t="s">
        <v>1291</v>
      </c>
      <c r="W198" s="132"/>
      <c r="X198" s="201" t="s">
        <v>1292</v>
      </c>
      <c r="Y198" s="202"/>
      <c r="Z198" s="203" t="s">
        <v>608</v>
      </c>
      <c r="AA198" s="204"/>
      <c r="AB198" s="204"/>
      <c r="AC198" s="149" t="s">
        <v>1318</v>
      </c>
      <c r="AD198" s="149" t="s">
        <v>1389</v>
      </c>
      <c r="AE198" s="205" t="s">
        <v>3</v>
      </c>
      <c r="AF198" s="205" t="s">
        <v>1349</v>
      </c>
      <c r="AG198" s="149" t="s">
        <v>1297</v>
      </c>
      <c r="AH198" s="149" t="s">
        <v>6</v>
      </c>
      <c r="AI198" s="150" t="s">
        <v>1307</v>
      </c>
      <c r="AJ198" s="206" t="s">
        <v>1303</v>
      </c>
      <c r="AK198" s="149" t="s">
        <v>4</v>
      </c>
      <c r="AL198" s="149" t="s">
        <v>1304</v>
      </c>
    </row>
    <row r="199" spans="1:35" ht="15">
      <c r="A199" s="135"/>
      <c r="B199" s="139"/>
      <c r="C199" s="207"/>
      <c r="D199" s="208"/>
      <c r="E199" s="136"/>
      <c r="F199" s="136" t="s">
        <v>1294</v>
      </c>
      <c r="G199" s="136"/>
      <c r="H199" s="139" t="s">
        <v>1204</v>
      </c>
      <c r="I199" s="136" t="s">
        <v>1204</v>
      </c>
      <c r="J199" s="136">
        <v>2562</v>
      </c>
      <c r="K199" s="136">
        <v>2563</v>
      </c>
      <c r="L199" s="137">
        <v>2564</v>
      </c>
      <c r="M199" s="138" t="s">
        <v>1537</v>
      </c>
      <c r="N199" s="136" t="s">
        <v>4</v>
      </c>
      <c r="O199" s="138" t="s">
        <v>1538</v>
      </c>
      <c r="P199" s="139" t="s">
        <v>1286</v>
      </c>
      <c r="Q199" s="209" t="s">
        <v>1391</v>
      </c>
      <c r="R199" s="210" t="s">
        <v>5</v>
      </c>
      <c r="S199" s="139" t="s">
        <v>1208</v>
      </c>
      <c r="T199" s="139" t="s">
        <v>5</v>
      </c>
      <c r="U199" s="211" t="s">
        <v>1208</v>
      </c>
      <c r="V199" s="210" t="s">
        <v>5</v>
      </c>
      <c r="W199" s="139" t="s">
        <v>1208</v>
      </c>
      <c r="X199" s="139" t="s">
        <v>5</v>
      </c>
      <c r="Y199" s="211" t="s">
        <v>1208</v>
      </c>
      <c r="Z199" s="207"/>
      <c r="AA199" s="197"/>
      <c r="AB199" s="197"/>
      <c r="AG199" s="149" t="s">
        <v>1494</v>
      </c>
      <c r="AH199" s="149" t="s">
        <v>1207</v>
      </c>
      <c r="AI199" s="150" t="s">
        <v>1308</v>
      </c>
    </row>
    <row r="200" spans="1:36" ht="18" customHeight="1">
      <c r="A200" s="140">
        <v>10949</v>
      </c>
      <c r="B200" s="140">
        <v>186</v>
      </c>
      <c r="C200" s="146"/>
      <c r="D200" s="147"/>
      <c r="E200" s="192" t="s">
        <v>1463</v>
      </c>
      <c r="F200" s="153">
        <v>1</v>
      </c>
      <c r="G200" s="154" t="s">
        <v>1248</v>
      </c>
      <c r="H200" s="140">
        <v>1</v>
      </c>
      <c r="I200" s="140" t="s">
        <v>392</v>
      </c>
      <c r="J200" s="140">
        <v>55</v>
      </c>
      <c r="K200" s="142">
        <v>80</v>
      </c>
      <c r="L200" s="142">
        <v>54</v>
      </c>
      <c r="M200" s="143">
        <v>60</v>
      </c>
      <c r="N200" s="140">
        <v>10</v>
      </c>
      <c r="O200" s="143">
        <f t="shared" si="33"/>
        <v>50</v>
      </c>
      <c r="P200" s="140">
        <v>74.9</v>
      </c>
      <c r="Q200" s="159">
        <f t="shared" si="38"/>
        <v>3745.0000000000005</v>
      </c>
      <c r="R200" s="140">
        <v>0</v>
      </c>
      <c r="S200" s="151">
        <f t="shared" si="39"/>
        <v>0</v>
      </c>
      <c r="T200" s="140">
        <v>0</v>
      </c>
      <c r="U200" s="151">
        <f t="shared" si="40"/>
        <v>0</v>
      </c>
      <c r="V200" s="140">
        <v>50</v>
      </c>
      <c r="W200" s="151">
        <f t="shared" si="41"/>
        <v>3745.0000000000005</v>
      </c>
      <c r="X200" s="140">
        <v>0</v>
      </c>
      <c r="Y200" s="151">
        <f t="shared" si="42"/>
        <v>0</v>
      </c>
      <c r="Z200" s="146"/>
      <c r="AA200" s="155">
        <f>R200+T200+V200+X200</f>
        <v>50</v>
      </c>
      <c r="AB200" s="155">
        <f>O200-AA200</f>
        <v>0</v>
      </c>
      <c r="AC200" s="149">
        <f>O200/4</f>
        <v>12.5</v>
      </c>
      <c r="AD200" s="156"/>
      <c r="AG200" s="149">
        <v>45</v>
      </c>
      <c r="AH200" s="149">
        <v>3370.5</v>
      </c>
      <c r="AJ200" s="206">
        <f t="shared" si="37"/>
        <v>54</v>
      </c>
    </row>
    <row r="201" spans="1:38" ht="15" customHeight="1">
      <c r="A201" s="140">
        <v>10949</v>
      </c>
      <c r="B201" s="140">
        <v>187</v>
      </c>
      <c r="C201" s="146">
        <v>520544</v>
      </c>
      <c r="D201" s="147" t="s">
        <v>880</v>
      </c>
      <c r="E201" s="192" t="s">
        <v>502</v>
      </c>
      <c r="F201" s="153">
        <v>1</v>
      </c>
      <c r="G201" s="154" t="s">
        <v>1248</v>
      </c>
      <c r="H201" s="153">
        <v>1</v>
      </c>
      <c r="I201" s="153" t="s">
        <v>378</v>
      </c>
      <c r="J201" s="140">
        <v>0</v>
      </c>
      <c r="K201" s="142">
        <v>0</v>
      </c>
      <c r="L201" s="142">
        <v>0</v>
      </c>
      <c r="M201" s="143">
        <v>0</v>
      </c>
      <c r="N201" s="144">
        <v>0</v>
      </c>
      <c r="O201" s="143">
        <f t="shared" si="33"/>
        <v>0</v>
      </c>
      <c r="P201" s="140">
        <v>50.29</v>
      </c>
      <c r="Q201" s="159">
        <f t="shared" si="38"/>
        <v>0</v>
      </c>
      <c r="R201" s="140">
        <v>0</v>
      </c>
      <c r="S201" s="151">
        <f t="shared" si="39"/>
        <v>0</v>
      </c>
      <c r="T201" s="142">
        <v>0</v>
      </c>
      <c r="U201" s="151">
        <f t="shared" si="40"/>
        <v>0</v>
      </c>
      <c r="V201" s="140">
        <v>0</v>
      </c>
      <c r="W201" s="151">
        <f t="shared" si="41"/>
        <v>0</v>
      </c>
      <c r="X201" s="142">
        <v>0</v>
      </c>
      <c r="Y201" s="151">
        <f t="shared" si="42"/>
        <v>0</v>
      </c>
      <c r="Z201" s="146"/>
      <c r="AA201" s="155">
        <f t="shared" si="43"/>
        <v>0</v>
      </c>
      <c r="AB201" s="155">
        <f t="shared" si="34"/>
        <v>0</v>
      </c>
      <c r="AC201" s="149">
        <f aca="true" t="shared" si="49" ref="AC201:AC229">O201/4</f>
        <v>0</v>
      </c>
      <c r="AD201" s="156">
        <f aca="true" t="shared" si="50" ref="AD201:AD236">Q201/4</f>
        <v>0</v>
      </c>
      <c r="AJ201" s="206">
        <f t="shared" si="37"/>
        <v>0</v>
      </c>
      <c r="AL201" s="149">
        <f aca="true" t="shared" si="51" ref="AL201:AL251">AK201/H201</f>
        <v>0</v>
      </c>
    </row>
    <row r="202" spans="1:38" ht="15">
      <c r="A202" s="140">
        <v>10949</v>
      </c>
      <c r="B202" s="140">
        <v>188</v>
      </c>
      <c r="C202" s="146" t="s">
        <v>882</v>
      </c>
      <c r="D202" s="147" t="s">
        <v>881</v>
      </c>
      <c r="E202" s="191" t="s">
        <v>478</v>
      </c>
      <c r="F202" s="153">
        <v>1</v>
      </c>
      <c r="G202" s="154" t="s">
        <v>1248</v>
      </c>
      <c r="H202" s="140">
        <v>1</v>
      </c>
      <c r="I202" s="140" t="s">
        <v>378</v>
      </c>
      <c r="J202" s="140">
        <v>692</v>
      </c>
      <c r="K202" s="142">
        <v>605</v>
      </c>
      <c r="L202" s="142">
        <v>589.2</v>
      </c>
      <c r="M202" s="143">
        <v>650</v>
      </c>
      <c r="N202" s="144">
        <v>50</v>
      </c>
      <c r="O202" s="143">
        <f t="shared" si="33"/>
        <v>600</v>
      </c>
      <c r="P202" s="140">
        <v>20.330000000000002</v>
      </c>
      <c r="Q202" s="159">
        <f t="shared" si="38"/>
        <v>12198.000000000002</v>
      </c>
      <c r="R202" s="140">
        <v>150</v>
      </c>
      <c r="S202" s="151">
        <f t="shared" si="39"/>
        <v>3049.5000000000005</v>
      </c>
      <c r="T202" s="142">
        <v>150</v>
      </c>
      <c r="U202" s="151">
        <f t="shared" si="40"/>
        <v>3049.5000000000005</v>
      </c>
      <c r="V202" s="140">
        <v>150</v>
      </c>
      <c r="W202" s="151">
        <f t="shared" si="41"/>
        <v>3049.5000000000005</v>
      </c>
      <c r="X202" s="142">
        <v>150</v>
      </c>
      <c r="Y202" s="151">
        <f t="shared" si="42"/>
        <v>3049.5000000000005</v>
      </c>
      <c r="Z202" s="146"/>
      <c r="AA202" s="155">
        <f t="shared" si="43"/>
        <v>600</v>
      </c>
      <c r="AB202" s="155">
        <f t="shared" si="34"/>
        <v>0</v>
      </c>
      <c r="AC202" s="149">
        <f t="shared" si="49"/>
        <v>150</v>
      </c>
      <c r="AD202" s="156">
        <f t="shared" si="50"/>
        <v>3049.5000000000005</v>
      </c>
      <c r="AG202" s="149">
        <v>491</v>
      </c>
      <c r="AH202" s="149">
        <v>9917.34999999999</v>
      </c>
      <c r="AJ202" s="206">
        <f t="shared" si="37"/>
        <v>589.2</v>
      </c>
      <c r="AL202" s="149">
        <f t="shared" si="51"/>
        <v>0</v>
      </c>
    </row>
    <row r="203" spans="1:38" ht="15">
      <c r="A203" s="140">
        <v>10949</v>
      </c>
      <c r="B203" s="140">
        <v>189</v>
      </c>
      <c r="C203" s="146" t="s">
        <v>885</v>
      </c>
      <c r="D203" s="147" t="s">
        <v>884</v>
      </c>
      <c r="E203" s="191" t="s">
        <v>120</v>
      </c>
      <c r="F203" s="153">
        <v>1</v>
      </c>
      <c r="G203" s="154" t="s">
        <v>1266</v>
      </c>
      <c r="H203" s="140">
        <v>125</v>
      </c>
      <c r="I203" s="140" t="s">
        <v>1250</v>
      </c>
      <c r="J203" s="140">
        <v>9</v>
      </c>
      <c r="K203" s="142">
        <v>5</v>
      </c>
      <c r="L203" s="142">
        <v>0</v>
      </c>
      <c r="M203" s="143">
        <v>5</v>
      </c>
      <c r="N203" s="144">
        <v>0</v>
      </c>
      <c r="O203" s="143">
        <f aca="true" t="shared" si="52" ref="O203:O271">M203-N203</f>
        <v>5</v>
      </c>
      <c r="P203" s="140">
        <v>285</v>
      </c>
      <c r="Q203" s="159">
        <f t="shared" si="38"/>
        <v>1425</v>
      </c>
      <c r="R203" s="140">
        <v>3</v>
      </c>
      <c r="S203" s="151">
        <f t="shared" si="39"/>
        <v>855</v>
      </c>
      <c r="T203" s="142">
        <v>0</v>
      </c>
      <c r="U203" s="151">
        <f t="shared" si="40"/>
        <v>0</v>
      </c>
      <c r="V203" s="140">
        <v>2</v>
      </c>
      <c r="W203" s="151">
        <f t="shared" si="41"/>
        <v>570</v>
      </c>
      <c r="X203" s="142">
        <v>0</v>
      </c>
      <c r="Y203" s="151">
        <f t="shared" si="42"/>
        <v>0</v>
      </c>
      <c r="Z203" s="146"/>
      <c r="AA203" s="155">
        <f t="shared" si="43"/>
        <v>5</v>
      </c>
      <c r="AB203" s="155">
        <f t="shared" si="34"/>
        <v>0</v>
      </c>
      <c r="AC203" s="149">
        <f t="shared" si="49"/>
        <v>1.25</v>
      </c>
      <c r="AD203" s="156">
        <f t="shared" si="50"/>
        <v>356.25</v>
      </c>
      <c r="AJ203" s="206">
        <f aca="true" t="shared" si="53" ref="AJ203:AJ269">AG203/10*12</f>
        <v>0</v>
      </c>
      <c r="AL203" s="149">
        <f t="shared" si="51"/>
        <v>0</v>
      </c>
    </row>
    <row r="204" spans="1:38" ht="15">
      <c r="A204" s="140">
        <v>10949</v>
      </c>
      <c r="B204" s="140">
        <v>190</v>
      </c>
      <c r="C204" s="146">
        <v>767686</v>
      </c>
      <c r="D204" s="147" t="s">
        <v>883</v>
      </c>
      <c r="E204" s="152" t="s">
        <v>561</v>
      </c>
      <c r="F204" s="153">
        <v>1</v>
      </c>
      <c r="G204" s="146" t="s">
        <v>1245</v>
      </c>
      <c r="H204" s="221">
        <v>500</v>
      </c>
      <c r="I204" s="221" t="s">
        <v>376</v>
      </c>
      <c r="J204" s="140">
        <v>3</v>
      </c>
      <c r="K204" s="142">
        <v>6</v>
      </c>
      <c r="L204" s="142">
        <v>8.399999999999999</v>
      </c>
      <c r="M204" s="143">
        <v>8</v>
      </c>
      <c r="N204" s="144">
        <v>0</v>
      </c>
      <c r="O204" s="143">
        <f t="shared" si="52"/>
        <v>8</v>
      </c>
      <c r="P204" s="140">
        <v>686.94</v>
      </c>
      <c r="Q204" s="159">
        <f t="shared" si="38"/>
        <v>5495.52</v>
      </c>
      <c r="R204" s="140">
        <v>2</v>
      </c>
      <c r="S204" s="151">
        <f t="shared" si="39"/>
        <v>1373.88</v>
      </c>
      <c r="T204" s="140">
        <v>2</v>
      </c>
      <c r="U204" s="151">
        <f t="shared" si="40"/>
        <v>1373.88</v>
      </c>
      <c r="V204" s="140">
        <v>2</v>
      </c>
      <c r="W204" s="151">
        <f t="shared" si="41"/>
        <v>1373.88</v>
      </c>
      <c r="X204" s="140">
        <v>2</v>
      </c>
      <c r="Y204" s="151">
        <f t="shared" si="42"/>
        <v>1373.88</v>
      </c>
      <c r="Z204" s="146"/>
      <c r="AA204" s="155">
        <f t="shared" si="43"/>
        <v>8</v>
      </c>
      <c r="AB204" s="155">
        <f t="shared" si="34"/>
        <v>0</v>
      </c>
      <c r="AC204" s="149">
        <f t="shared" si="49"/>
        <v>2</v>
      </c>
      <c r="AD204" s="156">
        <f t="shared" si="50"/>
        <v>1373.88</v>
      </c>
      <c r="AG204" s="149">
        <v>7</v>
      </c>
      <c r="AH204" s="149">
        <v>4494</v>
      </c>
      <c r="AJ204" s="206">
        <f t="shared" si="53"/>
        <v>8.399999999999999</v>
      </c>
      <c r="AL204" s="149">
        <f t="shared" si="51"/>
        <v>0</v>
      </c>
    </row>
    <row r="205" spans="1:38" ht="15">
      <c r="A205" s="140">
        <v>10949</v>
      </c>
      <c r="B205" s="140">
        <v>191</v>
      </c>
      <c r="C205" s="146" t="s">
        <v>887</v>
      </c>
      <c r="D205" s="147" t="s">
        <v>886</v>
      </c>
      <c r="E205" s="191" t="s">
        <v>1228</v>
      </c>
      <c r="F205" s="153">
        <v>1</v>
      </c>
      <c r="G205" s="154" t="s">
        <v>1245</v>
      </c>
      <c r="H205" s="140">
        <v>10</v>
      </c>
      <c r="I205" s="140" t="s">
        <v>376</v>
      </c>
      <c r="J205" s="140">
        <v>140</v>
      </c>
      <c r="K205" s="142">
        <v>150</v>
      </c>
      <c r="L205" s="142">
        <v>120</v>
      </c>
      <c r="M205" s="143">
        <v>144</v>
      </c>
      <c r="N205" s="144">
        <v>44</v>
      </c>
      <c r="O205" s="143">
        <f t="shared" si="52"/>
        <v>100</v>
      </c>
      <c r="P205" s="159">
        <v>55</v>
      </c>
      <c r="Q205" s="159">
        <f aca="true" t="shared" si="54" ref="Q205:Q271">P205*O205</f>
        <v>5500</v>
      </c>
      <c r="R205" s="140">
        <v>0</v>
      </c>
      <c r="S205" s="151">
        <f t="shared" si="39"/>
        <v>0</v>
      </c>
      <c r="T205" s="142">
        <v>50</v>
      </c>
      <c r="U205" s="151">
        <f t="shared" si="40"/>
        <v>2750</v>
      </c>
      <c r="V205" s="140">
        <v>0</v>
      </c>
      <c r="W205" s="151">
        <f t="shared" si="41"/>
        <v>0</v>
      </c>
      <c r="X205" s="142">
        <v>50</v>
      </c>
      <c r="Y205" s="151">
        <f t="shared" si="42"/>
        <v>2750</v>
      </c>
      <c r="Z205" s="146"/>
      <c r="AA205" s="155">
        <f t="shared" si="43"/>
        <v>100</v>
      </c>
      <c r="AB205" s="155">
        <f t="shared" si="34"/>
        <v>0</v>
      </c>
      <c r="AC205" s="149">
        <f t="shared" si="49"/>
        <v>25</v>
      </c>
      <c r="AD205" s="156">
        <f t="shared" si="50"/>
        <v>1375</v>
      </c>
      <c r="AG205" s="149">
        <v>100</v>
      </c>
      <c r="AH205" s="149">
        <v>5500</v>
      </c>
      <c r="AI205" s="150" t="s">
        <v>1352</v>
      </c>
      <c r="AJ205" s="206">
        <f>AG205/10*12</f>
        <v>120</v>
      </c>
      <c r="AL205" s="149">
        <f t="shared" si="51"/>
        <v>0</v>
      </c>
    </row>
    <row r="206" spans="1:38" ht="15">
      <c r="A206" s="140">
        <v>10949</v>
      </c>
      <c r="B206" s="140">
        <v>192</v>
      </c>
      <c r="C206" s="146" t="s">
        <v>889</v>
      </c>
      <c r="D206" s="147" t="s">
        <v>888</v>
      </c>
      <c r="E206" s="191" t="s">
        <v>121</v>
      </c>
      <c r="F206" s="153">
        <v>1</v>
      </c>
      <c r="G206" s="154" t="s">
        <v>1245</v>
      </c>
      <c r="H206" s="140">
        <v>1000</v>
      </c>
      <c r="I206" s="140" t="s">
        <v>376</v>
      </c>
      <c r="J206" s="140">
        <v>97</v>
      </c>
      <c r="K206" s="142">
        <v>90</v>
      </c>
      <c r="L206" s="142">
        <v>85.19999999999999</v>
      </c>
      <c r="M206" s="143">
        <v>95</v>
      </c>
      <c r="N206" s="144">
        <v>15</v>
      </c>
      <c r="O206" s="143">
        <f t="shared" si="52"/>
        <v>80</v>
      </c>
      <c r="P206" s="140">
        <v>180</v>
      </c>
      <c r="Q206" s="159">
        <f t="shared" si="54"/>
        <v>14400</v>
      </c>
      <c r="R206" s="140">
        <v>20</v>
      </c>
      <c r="S206" s="151">
        <f t="shared" si="39"/>
        <v>3600</v>
      </c>
      <c r="T206" s="142">
        <v>20</v>
      </c>
      <c r="U206" s="151">
        <f t="shared" si="40"/>
        <v>3600</v>
      </c>
      <c r="V206" s="140">
        <v>20</v>
      </c>
      <c r="W206" s="151">
        <f t="shared" si="41"/>
        <v>3600</v>
      </c>
      <c r="X206" s="142">
        <v>20</v>
      </c>
      <c r="Y206" s="151">
        <f t="shared" si="42"/>
        <v>3600</v>
      </c>
      <c r="Z206" s="146"/>
      <c r="AA206" s="155">
        <f t="shared" si="43"/>
        <v>80</v>
      </c>
      <c r="AB206" s="155">
        <f t="shared" si="34"/>
        <v>0</v>
      </c>
      <c r="AC206" s="149">
        <f t="shared" si="49"/>
        <v>20</v>
      </c>
      <c r="AD206" s="156">
        <f t="shared" si="50"/>
        <v>3600</v>
      </c>
      <c r="AG206" s="149">
        <v>71</v>
      </c>
      <c r="AH206" s="149">
        <v>12780</v>
      </c>
      <c r="AJ206" s="206">
        <f t="shared" si="53"/>
        <v>85.19999999999999</v>
      </c>
      <c r="AL206" s="149">
        <f t="shared" si="51"/>
        <v>0</v>
      </c>
    </row>
    <row r="207" spans="1:38" ht="15">
      <c r="A207" s="140">
        <v>10949</v>
      </c>
      <c r="B207" s="140">
        <v>193</v>
      </c>
      <c r="C207" s="146" t="s">
        <v>891</v>
      </c>
      <c r="D207" s="147" t="s">
        <v>890</v>
      </c>
      <c r="E207" s="191" t="s">
        <v>122</v>
      </c>
      <c r="F207" s="153">
        <v>1</v>
      </c>
      <c r="G207" s="154" t="s">
        <v>1245</v>
      </c>
      <c r="H207" s="140">
        <v>1000</v>
      </c>
      <c r="I207" s="140" t="s">
        <v>376</v>
      </c>
      <c r="J207" s="140">
        <v>107</v>
      </c>
      <c r="K207" s="142">
        <v>124</v>
      </c>
      <c r="L207" s="142">
        <v>136.8</v>
      </c>
      <c r="M207" s="143">
        <v>140</v>
      </c>
      <c r="N207" s="144">
        <v>20</v>
      </c>
      <c r="O207" s="143">
        <f t="shared" si="52"/>
        <v>120</v>
      </c>
      <c r="P207" s="140">
        <v>350</v>
      </c>
      <c r="Q207" s="159">
        <f t="shared" si="54"/>
        <v>42000</v>
      </c>
      <c r="R207" s="140">
        <v>30</v>
      </c>
      <c r="S207" s="151">
        <f t="shared" si="39"/>
        <v>10500</v>
      </c>
      <c r="T207" s="142">
        <v>30</v>
      </c>
      <c r="U207" s="151">
        <f t="shared" si="40"/>
        <v>10500</v>
      </c>
      <c r="V207" s="140">
        <v>30</v>
      </c>
      <c r="W207" s="151">
        <f t="shared" si="41"/>
        <v>10500</v>
      </c>
      <c r="X207" s="142">
        <v>30</v>
      </c>
      <c r="Y207" s="151">
        <f t="shared" si="42"/>
        <v>10500</v>
      </c>
      <c r="Z207" s="146"/>
      <c r="AA207" s="155">
        <f t="shared" si="43"/>
        <v>120</v>
      </c>
      <c r="AB207" s="155">
        <f t="shared" si="34"/>
        <v>0</v>
      </c>
      <c r="AC207" s="149">
        <f t="shared" si="49"/>
        <v>30</v>
      </c>
      <c r="AD207" s="156">
        <f t="shared" si="50"/>
        <v>10500</v>
      </c>
      <c r="AG207" s="149">
        <v>114</v>
      </c>
      <c r="AH207" s="149">
        <v>39900</v>
      </c>
      <c r="AJ207" s="206">
        <f t="shared" si="53"/>
        <v>136.8</v>
      </c>
      <c r="AL207" s="149">
        <f t="shared" si="51"/>
        <v>0</v>
      </c>
    </row>
    <row r="208" spans="1:38" ht="15">
      <c r="A208" s="140">
        <v>10949</v>
      </c>
      <c r="B208" s="140">
        <v>194</v>
      </c>
      <c r="C208" s="146"/>
      <c r="D208" s="147"/>
      <c r="E208" s="152" t="s">
        <v>471</v>
      </c>
      <c r="F208" s="153">
        <v>1</v>
      </c>
      <c r="G208" s="146" t="s">
        <v>1245</v>
      </c>
      <c r="H208" s="140">
        <v>300</v>
      </c>
      <c r="I208" s="140" t="s">
        <v>376</v>
      </c>
      <c r="J208" s="140">
        <v>810</v>
      </c>
      <c r="K208" s="142">
        <v>783</v>
      </c>
      <c r="L208" s="142">
        <v>838.8000000000001</v>
      </c>
      <c r="M208" s="143">
        <v>850</v>
      </c>
      <c r="N208" s="144">
        <v>50</v>
      </c>
      <c r="O208" s="143">
        <f t="shared" si="52"/>
        <v>800</v>
      </c>
      <c r="P208" s="159">
        <v>214</v>
      </c>
      <c r="Q208" s="159">
        <f t="shared" si="54"/>
        <v>171200</v>
      </c>
      <c r="R208" s="140">
        <v>200</v>
      </c>
      <c r="S208" s="151">
        <f t="shared" si="39"/>
        <v>42800</v>
      </c>
      <c r="T208" s="142">
        <v>200</v>
      </c>
      <c r="U208" s="151">
        <f t="shared" si="40"/>
        <v>42800</v>
      </c>
      <c r="V208" s="140">
        <v>200</v>
      </c>
      <c r="W208" s="151">
        <f t="shared" si="41"/>
        <v>42800</v>
      </c>
      <c r="X208" s="142">
        <v>200</v>
      </c>
      <c r="Y208" s="151">
        <f t="shared" si="42"/>
        <v>42800</v>
      </c>
      <c r="Z208" s="146"/>
      <c r="AA208" s="155">
        <f t="shared" si="43"/>
        <v>800</v>
      </c>
      <c r="AB208" s="155">
        <f aca="true" t="shared" si="55" ref="AB208:AB280">O208-AA208</f>
        <v>0</v>
      </c>
      <c r="AC208" s="149">
        <f t="shared" si="49"/>
        <v>200</v>
      </c>
      <c r="AD208" s="156">
        <f t="shared" si="50"/>
        <v>42800</v>
      </c>
      <c r="AG208" s="149">
        <f>349+350</f>
        <v>699</v>
      </c>
      <c r="AH208" s="149">
        <f>74686+68250</f>
        <v>142936</v>
      </c>
      <c r="AJ208" s="206">
        <f t="shared" si="53"/>
        <v>838.8000000000001</v>
      </c>
      <c r="AL208" s="149">
        <f t="shared" si="51"/>
        <v>0</v>
      </c>
    </row>
    <row r="209" spans="1:38" ht="15">
      <c r="A209" s="140">
        <v>10949</v>
      </c>
      <c r="B209" s="140">
        <v>195</v>
      </c>
      <c r="C209" s="146" t="s">
        <v>893</v>
      </c>
      <c r="D209" s="147" t="s">
        <v>892</v>
      </c>
      <c r="E209" s="191" t="s">
        <v>123</v>
      </c>
      <c r="F209" s="153">
        <v>1</v>
      </c>
      <c r="G209" s="154" t="s">
        <v>1245</v>
      </c>
      <c r="H209" s="140">
        <v>500</v>
      </c>
      <c r="I209" s="140" t="s">
        <v>376</v>
      </c>
      <c r="J209" s="140">
        <v>96</v>
      </c>
      <c r="K209" s="142">
        <v>103</v>
      </c>
      <c r="L209" s="142">
        <v>106.80000000000001</v>
      </c>
      <c r="M209" s="143">
        <v>110</v>
      </c>
      <c r="N209" s="144">
        <v>20</v>
      </c>
      <c r="O209" s="143">
        <f t="shared" si="52"/>
        <v>90</v>
      </c>
      <c r="P209" s="140">
        <v>155</v>
      </c>
      <c r="Q209" s="159">
        <f t="shared" si="54"/>
        <v>13950</v>
      </c>
      <c r="R209" s="140">
        <v>20</v>
      </c>
      <c r="S209" s="151">
        <f t="shared" si="39"/>
        <v>3100</v>
      </c>
      <c r="T209" s="142">
        <v>20</v>
      </c>
      <c r="U209" s="151">
        <f t="shared" si="40"/>
        <v>3100</v>
      </c>
      <c r="V209" s="140">
        <v>30</v>
      </c>
      <c r="W209" s="151">
        <f t="shared" si="41"/>
        <v>4650</v>
      </c>
      <c r="X209" s="142">
        <v>20</v>
      </c>
      <c r="Y209" s="151">
        <f t="shared" si="42"/>
        <v>3100</v>
      </c>
      <c r="Z209" s="146"/>
      <c r="AA209" s="155">
        <f t="shared" si="43"/>
        <v>90</v>
      </c>
      <c r="AB209" s="155">
        <f t="shared" si="55"/>
        <v>0</v>
      </c>
      <c r="AC209" s="149">
        <f t="shared" si="49"/>
        <v>22.5</v>
      </c>
      <c r="AD209" s="156">
        <f t="shared" si="50"/>
        <v>3487.5</v>
      </c>
      <c r="AG209" s="149">
        <v>89</v>
      </c>
      <c r="AH209" s="149">
        <v>13795</v>
      </c>
      <c r="AJ209" s="206">
        <f t="shared" si="53"/>
        <v>106.80000000000001</v>
      </c>
      <c r="AL209" s="149">
        <f t="shared" si="51"/>
        <v>0</v>
      </c>
    </row>
    <row r="210" spans="1:38" ht="15">
      <c r="A210" s="140">
        <v>10949</v>
      </c>
      <c r="B210" s="140">
        <v>196</v>
      </c>
      <c r="C210" s="146" t="s">
        <v>895</v>
      </c>
      <c r="D210" s="147" t="s">
        <v>894</v>
      </c>
      <c r="E210" s="191" t="s">
        <v>217</v>
      </c>
      <c r="F210" s="153">
        <v>2</v>
      </c>
      <c r="G210" s="154" t="s">
        <v>1267</v>
      </c>
      <c r="H210" s="140">
        <v>50</v>
      </c>
      <c r="I210" s="140" t="s">
        <v>1238</v>
      </c>
      <c r="J210" s="140">
        <v>176</v>
      </c>
      <c r="K210" s="142">
        <v>224</v>
      </c>
      <c r="L210" s="142">
        <v>226.79999999999998</v>
      </c>
      <c r="M210" s="143">
        <v>230</v>
      </c>
      <c r="N210" s="144">
        <v>30</v>
      </c>
      <c r="O210" s="143">
        <f t="shared" si="52"/>
        <v>200</v>
      </c>
      <c r="P210" s="159">
        <v>28</v>
      </c>
      <c r="Q210" s="159">
        <f t="shared" si="54"/>
        <v>5600</v>
      </c>
      <c r="R210" s="140">
        <v>50</v>
      </c>
      <c r="S210" s="151">
        <f t="shared" si="39"/>
        <v>1400</v>
      </c>
      <c r="T210" s="142">
        <v>50</v>
      </c>
      <c r="U210" s="151">
        <f t="shared" si="40"/>
        <v>1400</v>
      </c>
      <c r="V210" s="140">
        <v>50</v>
      </c>
      <c r="W210" s="151">
        <f t="shared" si="41"/>
        <v>1400</v>
      </c>
      <c r="X210" s="142">
        <v>50</v>
      </c>
      <c r="Y210" s="151">
        <f t="shared" si="42"/>
        <v>1400</v>
      </c>
      <c r="Z210" s="146"/>
      <c r="AA210" s="155">
        <f t="shared" si="43"/>
        <v>200</v>
      </c>
      <c r="AB210" s="155">
        <f t="shared" si="55"/>
        <v>0</v>
      </c>
      <c r="AC210" s="149">
        <f t="shared" si="49"/>
        <v>50</v>
      </c>
      <c r="AD210" s="156">
        <f t="shared" si="50"/>
        <v>1400</v>
      </c>
      <c r="AG210" s="149">
        <v>189</v>
      </c>
      <c r="AH210" s="149">
        <v>4725</v>
      </c>
      <c r="AJ210" s="206">
        <f t="shared" si="53"/>
        <v>226.79999999999998</v>
      </c>
      <c r="AL210" s="149">
        <f t="shared" si="51"/>
        <v>0</v>
      </c>
    </row>
    <row r="211" spans="1:38" ht="15">
      <c r="A211" s="140">
        <v>10949</v>
      </c>
      <c r="B211" s="140">
        <v>197</v>
      </c>
      <c r="C211" s="146"/>
      <c r="D211" s="147"/>
      <c r="E211" s="191" t="s">
        <v>124</v>
      </c>
      <c r="F211" s="153">
        <v>1</v>
      </c>
      <c r="G211" s="154" t="s">
        <v>1248</v>
      </c>
      <c r="H211" s="140">
        <v>1</v>
      </c>
      <c r="I211" s="140" t="s">
        <v>389</v>
      </c>
      <c r="J211" s="140">
        <v>80</v>
      </c>
      <c r="K211" s="142">
        <v>0</v>
      </c>
      <c r="L211" s="142">
        <v>6</v>
      </c>
      <c r="M211" s="143">
        <v>20</v>
      </c>
      <c r="N211" s="144">
        <v>45</v>
      </c>
      <c r="O211" s="143">
        <v>0</v>
      </c>
      <c r="P211" s="140">
        <v>9</v>
      </c>
      <c r="Q211" s="159">
        <f t="shared" si="54"/>
        <v>0</v>
      </c>
      <c r="R211" s="140">
        <v>0</v>
      </c>
      <c r="S211" s="151">
        <f aca="true" t="shared" si="56" ref="S211:S283">R211*P211</f>
        <v>0</v>
      </c>
      <c r="T211" s="142">
        <v>0</v>
      </c>
      <c r="U211" s="151">
        <f aca="true" t="shared" si="57" ref="U211:U283">T211*P211</f>
        <v>0</v>
      </c>
      <c r="V211" s="140">
        <v>0</v>
      </c>
      <c r="W211" s="151">
        <f aca="true" t="shared" si="58" ref="W211:W283">V211*P211</f>
        <v>0</v>
      </c>
      <c r="X211" s="142">
        <v>0</v>
      </c>
      <c r="Y211" s="151">
        <f aca="true" t="shared" si="59" ref="Y211:Y283">X211*P211</f>
        <v>0</v>
      </c>
      <c r="Z211" s="146"/>
      <c r="AA211" s="155">
        <f aca="true" t="shared" si="60" ref="AA211:AA283">R211+T211+V211+X211</f>
        <v>0</v>
      </c>
      <c r="AB211" s="155">
        <f t="shared" si="55"/>
        <v>0</v>
      </c>
      <c r="AC211" s="149">
        <f t="shared" si="49"/>
        <v>0</v>
      </c>
      <c r="AD211" s="156">
        <f t="shared" si="50"/>
        <v>0</v>
      </c>
      <c r="AG211" s="149">
        <v>5</v>
      </c>
      <c r="AH211" s="149">
        <v>45</v>
      </c>
      <c r="AJ211" s="206">
        <f t="shared" si="53"/>
        <v>6</v>
      </c>
      <c r="AL211" s="149">
        <f t="shared" si="51"/>
        <v>0</v>
      </c>
    </row>
    <row r="212" spans="1:38" ht="15">
      <c r="A212" s="140">
        <v>10949</v>
      </c>
      <c r="B212" s="140">
        <v>198</v>
      </c>
      <c r="C212" s="146" t="s">
        <v>897</v>
      </c>
      <c r="D212" s="147" t="s">
        <v>896</v>
      </c>
      <c r="E212" s="191" t="s">
        <v>125</v>
      </c>
      <c r="F212" s="153">
        <v>1</v>
      </c>
      <c r="G212" s="154" t="s">
        <v>1248</v>
      </c>
      <c r="H212" s="140">
        <v>1</v>
      </c>
      <c r="I212" s="140" t="s">
        <v>389</v>
      </c>
      <c r="J212" s="140">
        <v>420</v>
      </c>
      <c r="K212" s="142">
        <v>708</v>
      </c>
      <c r="L212" s="142">
        <v>306</v>
      </c>
      <c r="M212" s="143">
        <v>500</v>
      </c>
      <c r="N212" s="144">
        <v>100</v>
      </c>
      <c r="O212" s="143">
        <f t="shared" si="52"/>
        <v>400</v>
      </c>
      <c r="P212" s="140">
        <v>9.162</v>
      </c>
      <c r="Q212" s="159">
        <f t="shared" si="54"/>
        <v>3664.8</v>
      </c>
      <c r="R212" s="140">
        <v>100</v>
      </c>
      <c r="S212" s="151">
        <f t="shared" si="56"/>
        <v>916.2</v>
      </c>
      <c r="T212" s="142">
        <v>100</v>
      </c>
      <c r="U212" s="151">
        <f t="shared" si="57"/>
        <v>916.2</v>
      </c>
      <c r="V212" s="140">
        <v>100</v>
      </c>
      <c r="W212" s="151">
        <f t="shared" si="58"/>
        <v>916.2</v>
      </c>
      <c r="X212" s="142">
        <v>100</v>
      </c>
      <c r="Y212" s="151">
        <f t="shared" si="59"/>
        <v>916.2</v>
      </c>
      <c r="Z212" s="146"/>
      <c r="AA212" s="155">
        <f t="shared" si="60"/>
        <v>400</v>
      </c>
      <c r="AB212" s="155">
        <f t="shared" si="55"/>
        <v>0</v>
      </c>
      <c r="AC212" s="149">
        <f t="shared" si="49"/>
        <v>100</v>
      </c>
      <c r="AD212" s="156">
        <f t="shared" si="50"/>
        <v>916.2</v>
      </c>
      <c r="AG212" s="149">
        <v>255</v>
      </c>
      <c r="AH212" s="149">
        <v>2295</v>
      </c>
      <c r="AJ212" s="206">
        <f t="shared" si="53"/>
        <v>306</v>
      </c>
      <c r="AL212" s="149">
        <f t="shared" si="51"/>
        <v>0</v>
      </c>
    </row>
    <row r="213" spans="1:38" ht="15">
      <c r="A213" s="140">
        <v>10949</v>
      </c>
      <c r="B213" s="140">
        <v>199</v>
      </c>
      <c r="C213" s="146" t="s">
        <v>899</v>
      </c>
      <c r="D213" s="147" t="s">
        <v>898</v>
      </c>
      <c r="E213" s="191" t="s">
        <v>395</v>
      </c>
      <c r="F213" s="153">
        <v>1</v>
      </c>
      <c r="G213" s="154" t="s">
        <v>1248</v>
      </c>
      <c r="H213" s="140">
        <v>1</v>
      </c>
      <c r="I213" s="140" t="s">
        <v>392</v>
      </c>
      <c r="J213" s="140">
        <v>2730</v>
      </c>
      <c r="K213" s="142">
        <v>2872</v>
      </c>
      <c r="L213" s="142">
        <v>2703.6000000000004</v>
      </c>
      <c r="M213" s="143">
        <v>2900</v>
      </c>
      <c r="N213" s="144">
        <v>500</v>
      </c>
      <c r="O213" s="143">
        <f t="shared" si="52"/>
        <v>2400</v>
      </c>
      <c r="P213" s="140">
        <v>10</v>
      </c>
      <c r="Q213" s="159">
        <f t="shared" si="54"/>
        <v>24000</v>
      </c>
      <c r="R213" s="140">
        <v>600</v>
      </c>
      <c r="S213" s="151">
        <f t="shared" si="56"/>
        <v>6000</v>
      </c>
      <c r="T213" s="142">
        <v>600</v>
      </c>
      <c r="U213" s="151">
        <f t="shared" si="57"/>
        <v>6000</v>
      </c>
      <c r="V213" s="140">
        <v>600</v>
      </c>
      <c r="W213" s="151">
        <f t="shared" si="58"/>
        <v>6000</v>
      </c>
      <c r="X213" s="142">
        <v>600</v>
      </c>
      <c r="Y213" s="151">
        <f t="shared" si="59"/>
        <v>6000</v>
      </c>
      <c r="Z213" s="146"/>
      <c r="AA213" s="155">
        <f t="shared" si="60"/>
        <v>2400</v>
      </c>
      <c r="AB213" s="155">
        <f t="shared" si="55"/>
        <v>0</v>
      </c>
      <c r="AC213" s="149">
        <f t="shared" si="49"/>
        <v>600</v>
      </c>
      <c r="AD213" s="156">
        <f t="shared" si="50"/>
        <v>6000</v>
      </c>
      <c r="AG213" s="149">
        <v>2253</v>
      </c>
      <c r="AH213" s="149">
        <v>24107.100000000002</v>
      </c>
      <c r="AJ213" s="206">
        <f t="shared" si="53"/>
        <v>2703.6000000000004</v>
      </c>
      <c r="AL213" s="149">
        <f t="shared" si="51"/>
        <v>0</v>
      </c>
    </row>
    <row r="214" spans="1:38" ht="15">
      <c r="A214" s="140">
        <v>10949</v>
      </c>
      <c r="B214" s="140">
        <v>200</v>
      </c>
      <c r="C214" s="146" t="s">
        <v>902</v>
      </c>
      <c r="D214" s="147" t="s">
        <v>901</v>
      </c>
      <c r="E214" s="191" t="s">
        <v>127</v>
      </c>
      <c r="F214" s="153">
        <v>1</v>
      </c>
      <c r="G214" s="154" t="s">
        <v>1245</v>
      </c>
      <c r="H214" s="140">
        <v>500</v>
      </c>
      <c r="I214" s="140" t="s">
        <v>376</v>
      </c>
      <c r="J214" s="140">
        <v>4800</v>
      </c>
      <c r="K214" s="142">
        <v>4971</v>
      </c>
      <c r="L214" s="142">
        <v>5025.6</v>
      </c>
      <c r="M214" s="143">
        <v>5200</v>
      </c>
      <c r="N214" s="144">
        <v>400</v>
      </c>
      <c r="O214" s="143">
        <f t="shared" si="52"/>
        <v>4800</v>
      </c>
      <c r="P214" s="140">
        <v>125</v>
      </c>
      <c r="Q214" s="159">
        <f t="shared" si="54"/>
        <v>600000</v>
      </c>
      <c r="R214" s="140">
        <v>1200</v>
      </c>
      <c r="S214" s="151">
        <f t="shared" si="56"/>
        <v>150000</v>
      </c>
      <c r="T214" s="142">
        <v>1200</v>
      </c>
      <c r="U214" s="151">
        <f t="shared" si="57"/>
        <v>150000</v>
      </c>
      <c r="V214" s="140">
        <v>1200</v>
      </c>
      <c r="W214" s="151">
        <f t="shared" si="58"/>
        <v>150000</v>
      </c>
      <c r="X214" s="142">
        <v>1200</v>
      </c>
      <c r="Y214" s="151">
        <f t="shared" si="59"/>
        <v>150000</v>
      </c>
      <c r="Z214" s="146"/>
      <c r="AA214" s="155">
        <f t="shared" si="60"/>
        <v>4800</v>
      </c>
      <c r="AB214" s="155">
        <f t="shared" si="55"/>
        <v>0</v>
      </c>
      <c r="AC214" s="149">
        <f t="shared" si="49"/>
        <v>1200</v>
      </c>
      <c r="AD214" s="156">
        <f t="shared" si="50"/>
        <v>150000</v>
      </c>
      <c r="AG214" s="149">
        <v>4188</v>
      </c>
      <c r="AH214" s="149">
        <v>424916.1000000004</v>
      </c>
      <c r="AJ214" s="206">
        <f t="shared" si="53"/>
        <v>5025.6</v>
      </c>
      <c r="AL214" s="149">
        <f t="shared" si="51"/>
        <v>0</v>
      </c>
    </row>
    <row r="215" spans="1:38" ht="15">
      <c r="A215" s="140">
        <v>10949</v>
      </c>
      <c r="B215" s="140">
        <v>201</v>
      </c>
      <c r="C215" s="146" t="s">
        <v>904</v>
      </c>
      <c r="D215" s="147" t="s">
        <v>903</v>
      </c>
      <c r="E215" s="196" t="s">
        <v>603</v>
      </c>
      <c r="F215" s="153">
        <v>1</v>
      </c>
      <c r="G215" s="222" t="s">
        <v>1245</v>
      </c>
      <c r="H215" s="140">
        <v>500</v>
      </c>
      <c r="I215" s="140" t="s">
        <v>376</v>
      </c>
      <c r="J215" s="140">
        <v>128</v>
      </c>
      <c r="K215" s="142">
        <v>156</v>
      </c>
      <c r="L215" s="142">
        <v>151.2</v>
      </c>
      <c r="M215" s="143">
        <v>155</v>
      </c>
      <c r="N215" s="144">
        <v>35</v>
      </c>
      <c r="O215" s="143">
        <f t="shared" si="52"/>
        <v>120</v>
      </c>
      <c r="P215" s="140">
        <v>330</v>
      </c>
      <c r="Q215" s="159">
        <f t="shared" si="54"/>
        <v>39600</v>
      </c>
      <c r="R215" s="140">
        <v>30</v>
      </c>
      <c r="S215" s="151">
        <f t="shared" si="56"/>
        <v>9900</v>
      </c>
      <c r="T215" s="142">
        <v>30</v>
      </c>
      <c r="U215" s="151">
        <f t="shared" si="57"/>
        <v>9900</v>
      </c>
      <c r="V215" s="140">
        <v>30</v>
      </c>
      <c r="W215" s="151">
        <f t="shared" si="58"/>
        <v>9900</v>
      </c>
      <c r="X215" s="142">
        <v>30</v>
      </c>
      <c r="Y215" s="151">
        <f t="shared" si="59"/>
        <v>9900</v>
      </c>
      <c r="Z215" s="146"/>
      <c r="AA215" s="155">
        <f t="shared" si="60"/>
        <v>120</v>
      </c>
      <c r="AB215" s="155">
        <f t="shared" si="55"/>
        <v>0</v>
      </c>
      <c r="AC215" s="149">
        <f t="shared" si="49"/>
        <v>30</v>
      </c>
      <c r="AD215" s="156">
        <f t="shared" si="50"/>
        <v>9900</v>
      </c>
      <c r="AG215" s="149">
        <v>126</v>
      </c>
      <c r="AH215" s="149">
        <v>41580</v>
      </c>
      <c r="AJ215" s="206">
        <f t="shared" si="53"/>
        <v>151.2</v>
      </c>
      <c r="AL215" s="149">
        <f t="shared" si="51"/>
        <v>0</v>
      </c>
    </row>
    <row r="216" spans="1:38" ht="15">
      <c r="A216" s="140">
        <v>10949</v>
      </c>
      <c r="B216" s="140">
        <v>202</v>
      </c>
      <c r="C216" s="146"/>
      <c r="D216" s="147"/>
      <c r="E216" s="152" t="s">
        <v>504</v>
      </c>
      <c r="F216" s="153">
        <v>1</v>
      </c>
      <c r="G216" s="146" t="s">
        <v>1245</v>
      </c>
      <c r="H216" s="140">
        <v>100</v>
      </c>
      <c r="I216" s="140" t="s">
        <v>376</v>
      </c>
      <c r="J216" s="140">
        <v>2</v>
      </c>
      <c r="K216" s="142">
        <v>1</v>
      </c>
      <c r="L216" s="142">
        <v>9.600000000000001</v>
      </c>
      <c r="M216" s="143">
        <v>10</v>
      </c>
      <c r="N216" s="144">
        <v>4</v>
      </c>
      <c r="O216" s="143">
        <f t="shared" si="52"/>
        <v>6</v>
      </c>
      <c r="P216" s="160">
        <v>194</v>
      </c>
      <c r="Q216" s="159">
        <f t="shared" si="54"/>
        <v>1164</v>
      </c>
      <c r="R216" s="137">
        <v>0</v>
      </c>
      <c r="S216" s="151">
        <f t="shared" si="56"/>
        <v>0</v>
      </c>
      <c r="T216" s="142">
        <v>0</v>
      </c>
      <c r="U216" s="151">
        <f t="shared" si="57"/>
        <v>0</v>
      </c>
      <c r="V216" s="140">
        <v>6</v>
      </c>
      <c r="W216" s="151">
        <f t="shared" si="58"/>
        <v>1164</v>
      </c>
      <c r="X216" s="142">
        <v>0</v>
      </c>
      <c r="Y216" s="151">
        <f t="shared" si="59"/>
        <v>0</v>
      </c>
      <c r="Z216" s="146"/>
      <c r="AA216" s="155">
        <f t="shared" si="60"/>
        <v>6</v>
      </c>
      <c r="AB216" s="155">
        <f t="shared" si="55"/>
        <v>0</v>
      </c>
      <c r="AC216" s="149">
        <f t="shared" si="49"/>
        <v>1.5</v>
      </c>
      <c r="AD216" s="156">
        <f t="shared" si="50"/>
        <v>291</v>
      </c>
      <c r="AG216" s="149">
        <v>8</v>
      </c>
      <c r="AH216" s="149">
        <v>1546</v>
      </c>
      <c r="AJ216" s="206">
        <f t="shared" si="53"/>
        <v>9.600000000000001</v>
      </c>
      <c r="AL216" s="149">
        <f t="shared" si="51"/>
        <v>0</v>
      </c>
    </row>
    <row r="217" spans="1:38" ht="15">
      <c r="A217" s="140">
        <v>10949</v>
      </c>
      <c r="B217" s="140">
        <v>203</v>
      </c>
      <c r="C217" s="146"/>
      <c r="D217" s="147"/>
      <c r="E217" s="191" t="s">
        <v>505</v>
      </c>
      <c r="F217" s="153">
        <v>1</v>
      </c>
      <c r="G217" s="154" t="s">
        <v>1245</v>
      </c>
      <c r="H217" s="140">
        <v>500</v>
      </c>
      <c r="I217" s="140" t="s">
        <v>376</v>
      </c>
      <c r="J217" s="140">
        <v>0</v>
      </c>
      <c r="K217" s="142">
        <v>0</v>
      </c>
      <c r="L217" s="142">
        <v>1.2000000000000002</v>
      </c>
      <c r="M217" s="143">
        <v>1</v>
      </c>
      <c r="N217" s="144">
        <v>0</v>
      </c>
      <c r="O217" s="143">
        <f t="shared" si="52"/>
        <v>1</v>
      </c>
      <c r="P217" s="160">
        <v>749</v>
      </c>
      <c r="Q217" s="159">
        <f t="shared" si="54"/>
        <v>749</v>
      </c>
      <c r="R217" s="140">
        <v>1</v>
      </c>
      <c r="S217" s="151">
        <f t="shared" si="56"/>
        <v>749</v>
      </c>
      <c r="T217" s="142">
        <v>0</v>
      </c>
      <c r="U217" s="151">
        <f t="shared" si="57"/>
        <v>0</v>
      </c>
      <c r="V217" s="140">
        <v>0</v>
      </c>
      <c r="W217" s="151">
        <f t="shared" si="58"/>
        <v>0</v>
      </c>
      <c r="X217" s="142">
        <v>0</v>
      </c>
      <c r="Y217" s="151">
        <f t="shared" si="59"/>
        <v>0</v>
      </c>
      <c r="Z217" s="146"/>
      <c r="AA217" s="155">
        <f t="shared" si="60"/>
        <v>1</v>
      </c>
      <c r="AB217" s="155">
        <f t="shared" si="55"/>
        <v>0</v>
      </c>
      <c r="AC217" s="149">
        <f t="shared" si="49"/>
        <v>0.25</v>
      </c>
      <c r="AD217" s="156">
        <f t="shared" si="50"/>
        <v>187.25</v>
      </c>
      <c r="AG217" s="149">
        <v>1</v>
      </c>
      <c r="AH217" s="149">
        <v>749</v>
      </c>
      <c r="AJ217" s="206">
        <f t="shared" si="53"/>
        <v>1.2000000000000002</v>
      </c>
      <c r="AL217" s="149">
        <f t="shared" si="51"/>
        <v>0</v>
      </c>
    </row>
    <row r="218" spans="1:38" ht="15">
      <c r="A218" s="140">
        <v>10949</v>
      </c>
      <c r="B218" s="140">
        <v>204</v>
      </c>
      <c r="C218" s="146" t="s">
        <v>906</v>
      </c>
      <c r="D218" s="147" t="s">
        <v>905</v>
      </c>
      <c r="E218" s="191" t="s">
        <v>396</v>
      </c>
      <c r="F218" s="153">
        <v>1</v>
      </c>
      <c r="G218" s="154" t="s">
        <v>1248</v>
      </c>
      <c r="H218" s="140">
        <v>1</v>
      </c>
      <c r="I218" s="140" t="s">
        <v>389</v>
      </c>
      <c r="J218" s="140">
        <v>360</v>
      </c>
      <c r="K218" s="142">
        <v>290</v>
      </c>
      <c r="L218" s="142">
        <v>312</v>
      </c>
      <c r="M218" s="143">
        <v>340</v>
      </c>
      <c r="N218" s="144">
        <v>40</v>
      </c>
      <c r="O218" s="143">
        <f t="shared" si="52"/>
        <v>300</v>
      </c>
      <c r="P218" s="140">
        <v>7</v>
      </c>
      <c r="Q218" s="159">
        <f t="shared" si="54"/>
        <v>2100</v>
      </c>
      <c r="R218" s="140">
        <v>0</v>
      </c>
      <c r="S218" s="151">
        <f t="shared" si="56"/>
        <v>0</v>
      </c>
      <c r="T218" s="142">
        <v>300</v>
      </c>
      <c r="U218" s="151">
        <f t="shared" si="57"/>
        <v>2100</v>
      </c>
      <c r="V218" s="140">
        <v>0</v>
      </c>
      <c r="W218" s="151">
        <f t="shared" si="58"/>
        <v>0</v>
      </c>
      <c r="X218" s="142">
        <v>0</v>
      </c>
      <c r="Y218" s="151">
        <f t="shared" si="59"/>
        <v>0</v>
      </c>
      <c r="Z218" s="146"/>
      <c r="AA218" s="155">
        <f t="shared" si="60"/>
        <v>300</v>
      </c>
      <c r="AB218" s="155">
        <f t="shared" si="55"/>
        <v>0</v>
      </c>
      <c r="AC218" s="149">
        <f t="shared" si="49"/>
        <v>75</v>
      </c>
      <c r="AD218" s="156">
        <f t="shared" si="50"/>
        <v>525</v>
      </c>
      <c r="AG218" s="149">
        <v>260</v>
      </c>
      <c r="AH218" s="149">
        <v>1716</v>
      </c>
      <c r="AI218" s="150" t="s">
        <v>1300</v>
      </c>
      <c r="AJ218" s="206">
        <f t="shared" si="53"/>
        <v>312</v>
      </c>
      <c r="AL218" s="149">
        <f t="shared" si="51"/>
        <v>0</v>
      </c>
    </row>
    <row r="219" spans="1:38" ht="15">
      <c r="A219" s="140">
        <v>10949</v>
      </c>
      <c r="B219" s="140">
        <v>205</v>
      </c>
      <c r="C219" s="146"/>
      <c r="D219" s="147"/>
      <c r="E219" s="191" t="s">
        <v>1506</v>
      </c>
      <c r="F219" s="153">
        <v>1</v>
      </c>
      <c r="G219" s="154" t="s">
        <v>1245</v>
      </c>
      <c r="H219" s="140">
        <v>200</v>
      </c>
      <c r="I219" s="140" t="s">
        <v>376</v>
      </c>
      <c r="J219" s="140">
        <v>0</v>
      </c>
      <c r="K219" s="142">
        <v>125</v>
      </c>
      <c r="L219" s="142">
        <v>319.20000000000005</v>
      </c>
      <c r="M219" s="143">
        <v>340</v>
      </c>
      <c r="N219" s="144">
        <v>100</v>
      </c>
      <c r="O219" s="143">
        <f t="shared" si="52"/>
        <v>240</v>
      </c>
      <c r="P219" s="140">
        <v>800</v>
      </c>
      <c r="Q219" s="159">
        <f t="shared" si="54"/>
        <v>192000</v>
      </c>
      <c r="R219" s="140">
        <v>60</v>
      </c>
      <c r="S219" s="151">
        <f t="shared" si="56"/>
        <v>48000</v>
      </c>
      <c r="T219" s="142">
        <v>60</v>
      </c>
      <c r="U219" s="151">
        <f t="shared" si="57"/>
        <v>48000</v>
      </c>
      <c r="V219" s="140">
        <v>60</v>
      </c>
      <c r="W219" s="151">
        <f t="shared" si="58"/>
        <v>48000</v>
      </c>
      <c r="X219" s="142">
        <v>60</v>
      </c>
      <c r="Y219" s="151">
        <f t="shared" si="59"/>
        <v>48000</v>
      </c>
      <c r="Z219" s="146"/>
      <c r="AA219" s="155">
        <f>R219+T219+V219+X219</f>
        <v>240</v>
      </c>
      <c r="AB219" s="155">
        <f>O219-AA219</f>
        <v>0</v>
      </c>
      <c r="AC219" s="149">
        <f>O219/4</f>
        <v>60</v>
      </c>
      <c r="AD219" s="156"/>
      <c r="AG219" s="149">
        <v>266</v>
      </c>
      <c r="AH219" s="149">
        <v>212800</v>
      </c>
      <c r="AJ219" s="206">
        <f t="shared" si="53"/>
        <v>319.20000000000005</v>
      </c>
      <c r="AL219" s="149">
        <f t="shared" si="51"/>
        <v>0</v>
      </c>
    </row>
    <row r="220" spans="1:38" ht="15">
      <c r="A220" s="140">
        <v>10949</v>
      </c>
      <c r="B220" s="140">
        <v>206</v>
      </c>
      <c r="C220" s="146"/>
      <c r="D220" s="147"/>
      <c r="E220" s="191" t="s">
        <v>1483</v>
      </c>
      <c r="F220" s="153">
        <v>1</v>
      </c>
      <c r="G220" s="154" t="s">
        <v>1248</v>
      </c>
      <c r="H220" s="140">
        <v>1</v>
      </c>
      <c r="I220" s="140" t="s">
        <v>392</v>
      </c>
      <c r="J220" s="140">
        <v>10</v>
      </c>
      <c r="K220" s="142">
        <v>0</v>
      </c>
      <c r="L220" s="142">
        <v>0</v>
      </c>
      <c r="M220" s="143">
        <v>0</v>
      </c>
      <c r="N220" s="144">
        <v>0</v>
      </c>
      <c r="O220" s="143">
        <f t="shared" si="52"/>
        <v>0</v>
      </c>
      <c r="P220" s="140">
        <v>2260.91</v>
      </c>
      <c r="Q220" s="159">
        <f t="shared" si="54"/>
        <v>0</v>
      </c>
      <c r="R220" s="140">
        <v>0</v>
      </c>
      <c r="S220" s="151">
        <f t="shared" si="56"/>
        <v>0</v>
      </c>
      <c r="T220" s="142">
        <v>0</v>
      </c>
      <c r="U220" s="151">
        <f t="shared" si="57"/>
        <v>0</v>
      </c>
      <c r="V220" s="140">
        <v>0</v>
      </c>
      <c r="W220" s="151">
        <f t="shared" si="58"/>
        <v>0</v>
      </c>
      <c r="X220" s="142">
        <v>0</v>
      </c>
      <c r="Y220" s="151">
        <f t="shared" si="59"/>
        <v>0</v>
      </c>
      <c r="Z220" s="146"/>
      <c r="AA220" s="155">
        <f>R220+T220+V220+X220</f>
        <v>0</v>
      </c>
      <c r="AB220" s="155">
        <f>O220-AA220</f>
        <v>0</v>
      </c>
      <c r="AC220" s="149">
        <f>O220/4</f>
        <v>0</v>
      </c>
      <c r="AD220" s="156"/>
      <c r="AJ220" s="206">
        <f t="shared" si="53"/>
        <v>0</v>
      </c>
      <c r="AL220" s="149">
        <f t="shared" si="51"/>
        <v>0</v>
      </c>
    </row>
    <row r="221" spans="1:38" ht="15">
      <c r="A221" s="140">
        <v>10949</v>
      </c>
      <c r="B221" s="140">
        <v>207</v>
      </c>
      <c r="C221" s="146" t="s">
        <v>909</v>
      </c>
      <c r="D221" s="147" t="s">
        <v>908</v>
      </c>
      <c r="E221" s="191" t="s">
        <v>128</v>
      </c>
      <c r="F221" s="153">
        <v>1</v>
      </c>
      <c r="G221" s="154" t="s">
        <v>1245</v>
      </c>
      <c r="H221" s="140">
        <v>1000</v>
      </c>
      <c r="I221" s="140" t="s">
        <v>376</v>
      </c>
      <c r="J221" s="140">
        <v>0</v>
      </c>
      <c r="K221" s="142">
        <v>0</v>
      </c>
      <c r="L221" s="142">
        <v>0</v>
      </c>
      <c r="M221" s="143">
        <v>0</v>
      </c>
      <c r="N221" s="144">
        <v>0</v>
      </c>
      <c r="O221" s="143">
        <f t="shared" si="52"/>
        <v>0</v>
      </c>
      <c r="P221" s="160">
        <v>186</v>
      </c>
      <c r="Q221" s="159">
        <f t="shared" si="54"/>
        <v>0</v>
      </c>
      <c r="R221" s="140">
        <v>0</v>
      </c>
      <c r="S221" s="151">
        <f t="shared" si="56"/>
        <v>0</v>
      </c>
      <c r="T221" s="142">
        <v>0</v>
      </c>
      <c r="U221" s="151">
        <f t="shared" si="57"/>
        <v>0</v>
      </c>
      <c r="V221" s="140">
        <v>0</v>
      </c>
      <c r="W221" s="151">
        <f t="shared" si="58"/>
        <v>0</v>
      </c>
      <c r="X221" s="142">
        <v>0</v>
      </c>
      <c r="Y221" s="151">
        <f t="shared" si="59"/>
        <v>0</v>
      </c>
      <c r="Z221" s="146"/>
      <c r="AA221" s="155">
        <f t="shared" si="60"/>
        <v>0</v>
      </c>
      <c r="AB221" s="155">
        <f t="shared" si="55"/>
        <v>0</v>
      </c>
      <c r="AC221" s="149">
        <f t="shared" si="49"/>
        <v>0</v>
      </c>
      <c r="AD221" s="156">
        <f t="shared" si="50"/>
        <v>0</v>
      </c>
      <c r="AG221" s="149">
        <v>2400</v>
      </c>
      <c r="AH221" s="149">
        <v>7704.000000000001</v>
      </c>
      <c r="AJ221" s="206">
        <f t="shared" si="53"/>
        <v>2880</v>
      </c>
      <c r="AL221" s="149">
        <f t="shared" si="51"/>
        <v>0</v>
      </c>
    </row>
    <row r="222" spans="1:38" ht="15">
      <c r="A222" s="140">
        <v>10949</v>
      </c>
      <c r="B222" s="140">
        <v>208</v>
      </c>
      <c r="C222" s="146"/>
      <c r="D222" s="147"/>
      <c r="E222" s="191" t="s">
        <v>397</v>
      </c>
      <c r="F222" s="153">
        <v>1</v>
      </c>
      <c r="G222" s="154" t="s">
        <v>1248</v>
      </c>
      <c r="H222" s="140">
        <v>1</v>
      </c>
      <c r="I222" s="140" t="s">
        <v>389</v>
      </c>
      <c r="J222" s="140">
        <v>3150</v>
      </c>
      <c r="K222" s="142">
        <v>3400</v>
      </c>
      <c r="L222" s="142">
        <v>2880</v>
      </c>
      <c r="M222" s="143">
        <v>3300</v>
      </c>
      <c r="N222" s="144">
        <v>100</v>
      </c>
      <c r="O222" s="143">
        <f t="shared" si="52"/>
        <v>3200</v>
      </c>
      <c r="P222" s="159">
        <v>3.21</v>
      </c>
      <c r="Q222" s="159">
        <f t="shared" si="54"/>
        <v>10272</v>
      </c>
      <c r="R222" s="140">
        <v>800</v>
      </c>
      <c r="S222" s="151">
        <f t="shared" si="56"/>
        <v>2568</v>
      </c>
      <c r="T222" s="142">
        <v>800</v>
      </c>
      <c r="U222" s="151">
        <f t="shared" si="57"/>
        <v>2568</v>
      </c>
      <c r="V222" s="140">
        <v>800</v>
      </c>
      <c r="W222" s="151">
        <f t="shared" si="58"/>
        <v>2568</v>
      </c>
      <c r="X222" s="142">
        <v>800</v>
      </c>
      <c r="Y222" s="151">
        <f t="shared" si="59"/>
        <v>2568</v>
      </c>
      <c r="Z222" s="146"/>
      <c r="AA222" s="155">
        <f t="shared" si="60"/>
        <v>3200</v>
      </c>
      <c r="AB222" s="155">
        <f t="shared" si="55"/>
        <v>0</v>
      </c>
      <c r="AC222" s="149">
        <f t="shared" si="49"/>
        <v>800</v>
      </c>
      <c r="AD222" s="156">
        <f t="shared" si="50"/>
        <v>2568</v>
      </c>
      <c r="AG222" s="149">
        <v>2400</v>
      </c>
      <c r="AI222" s="150" t="s">
        <v>1352</v>
      </c>
      <c r="AJ222" s="206">
        <f t="shared" si="53"/>
        <v>2880</v>
      </c>
      <c r="AL222" s="149">
        <f t="shared" si="51"/>
        <v>0</v>
      </c>
    </row>
    <row r="223" spans="1:38" ht="15">
      <c r="A223" s="140">
        <v>10949</v>
      </c>
      <c r="B223" s="140">
        <v>209</v>
      </c>
      <c r="C223" s="146"/>
      <c r="D223" s="147"/>
      <c r="E223" s="192" t="s">
        <v>506</v>
      </c>
      <c r="F223" s="153">
        <v>1</v>
      </c>
      <c r="G223" s="161" t="s">
        <v>1245</v>
      </c>
      <c r="H223" s="153">
        <v>500</v>
      </c>
      <c r="I223" s="153" t="s">
        <v>376</v>
      </c>
      <c r="J223" s="140">
        <v>23</v>
      </c>
      <c r="K223" s="142">
        <f>18.5*2</f>
        <v>37</v>
      </c>
      <c r="L223" s="142">
        <v>9.600000000000001</v>
      </c>
      <c r="M223" s="143">
        <v>24</v>
      </c>
      <c r="N223" s="144">
        <v>4</v>
      </c>
      <c r="O223" s="143">
        <f t="shared" si="52"/>
        <v>20</v>
      </c>
      <c r="P223" s="160">
        <v>210</v>
      </c>
      <c r="Q223" s="159">
        <f t="shared" si="54"/>
        <v>4200</v>
      </c>
      <c r="R223" s="140">
        <v>5</v>
      </c>
      <c r="S223" s="151">
        <f t="shared" si="56"/>
        <v>1050</v>
      </c>
      <c r="T223" s="142">
        <v>5</v>
      </c>
      <c r="U223" s="151">
        <f t="shared" si="57"/>
        <v>1050</v>
      </c>
      <c r="V223" s="140">
        <v>5</v>
      </c>
      <c r="W223" s="151">
        <f t="shared" si="58"/>
        <v>1050</v>
      </c>
      <c r="X223" s="142">
        <v>5</v>
      </c>
      <c r="Y223" s="151">
        <f t="shared" si="59"/>
        <v>1050</v>
      </c>
      <c r="Z223" s="146"/>
      <c r="AA223" s="155">
        <f t="shared" si="60"/>
        <v>20</v>
      </c>
      <c r="AB223" s="155">
        <f t="shared" si="55"/>
        <v>0</v>
      </c>
      <c r="AC223" s="149">
        <f t="shared" si="49"/>
        <v>5</v>
      </c>
      <c r="AD223" s="156">
        <f t="shared" si="50"/>
        <v>1050</v>
      </c>
      <c r="AG223" s="149">
        <v>8</v>
      </c>
      <c r="AH223" s="149">
        <v>6592</v>
      </c>
      <c r="AI223" s="150" t="s">
        <v>1352</v>
      </c>
      <c r="AJ223" s="206">
        <f t="shared" si="53"/>
        <v>9.600000000000001</v>
      </c>
      <c r="AL223" s="149">
        <f t="shared" si="51"/>
        <v>0</v>
      </c>
    </row>
    <row r="224" spans="1:38" ht="15">
      <c r="A224" s="140">
        <v>10949</v>
      </c>
      <c r="B224" s="140">
        <v>210</v>
      </c>
      <c r="C224" s="146"/>
      <c r="D224" s="147"/>
      <c r="E224" s="191" t="s">
        <v>129</v>
      </c>
      <c r="F224" s="153">
        <v>1</v>
      </c>
      <c r="G224" s="154" t="s">
        <v>1245</v>
      </c>
      <c r="H224" s="140">
        <v>500</v>
      </c>
      <c r="I224" s="140" t="s">
        <v>376</v>
      </c>
      <c r="J224" s="140">
        <v>32</v>
      </c>
      <c r="K224" s="142">
        <v>21</v>
      </c>
      <c r="L224" s="142">
        <v>12</v>
      </c>
      <c r="M224" s="143">
        <v>20</v>
      </c>
      <c r="N224" s="144">
        <v>4</v>
      </c>
      <c r="O224" s="143">
        <f t="shared" si="52"/>
        <v>16</v>
      </c>
      <c r="P224" s="140">
        <v>120</v>
      </c>
      <c r="Q224" s="159">
        <f t="shared" si="54"/>
        <v>1920</v>
      </c>
      <c r="R224" s="140">
        <v>0</v>
      </c>
      <c r="S224" s="151">
        <f t="shared" si="56"/>
        <v>0</v>
      </c>
      <c r="T224" s="142">
        <v>8</v>
      </c>
      <c r="U224" s="151">
        <f t="shared" si="57"/>
        <v>960</v>
      </c>
      <c r="V224" s="140">
        <v>0</v>
      </c>
      <c r="W224" s="151">
        <f t="shared" si="58"/>
        <v>0</v>
      </c>
      <c r="X224" s="142">
        <v>8</v>
      </c>
      <c r="Y224" s="151">
        <f t="shared" si="59"/>
        <v>960</v>
      </c>
      <c r="Z224" s="146"/>
      <c r="AA224" s="155">
        <f t="shared" si="60"/>
        <v>16</v>
      </c>
      <c r="AB224" s="155">
        <f t="shared" si="55"/>
        <v>0</v>
      </c>
      <c r="AC224" s="149">
        <f t="shared" si="49"/>
        <v>4</v>
      </c>
      <c r="AD224" s="156">
        <f t="shared" si="50"/>
        <v>480</v>
      </c>
      <c r="AG224" s="149">
        <v>10</v>
      </c>
      <c r="AH224" s="149">
        <v>1200</v>
      </c>
      <c r="AI224" s="150" t="s">
        <v>1352</v>
      </c>
      <c r="AJ224" s="206">
        <f t="shared" si="53"/>
        <v>12</v>
      </c>
      <c r="AL224" s="149">
        <f t="shared" si="51"/>
        <v>0</v>
      </c>
    </row>
    <row r="225" spans="1:38" ht="15">
      <c r="A225" s="140">
        <v>10949</v>
      </c>
      <c r="B225" s="140">
        <v>211</v>
      </c>
      <c r="C225" s="146"/>
      <c r="D225" s="147"/>
      <c r="E225" s="191" t="s">
        <v>398</v>
      </c>
      <c r="F225" s="153">
        <v>1</v>
      </c>
      <c r="G225" s="154" t="s">
        <v>1248</v>
      </c>
      <c r="H225" s="140">
        <v>1</v>
      </c>
      <c r="I225" s="140" t="s">
        <v>392</v>
      </c>
      <c r="J225" s="140">
        <v>561</v>
      </c>
      <c r="K225" s="142">
        <v>589</v>
      </c>
      <c r="L225" s="142">
        <v>876</v>
      </c>
      <c r="M225" s="143">
        <v>900</v>
      </c>
      <c r="N225" s="144">
        <v>100</v>
      </c>
      <c r="O225" s="143">
        <f t="shared" si="52"/>
        <v>800</v>
      </c>
      <c r="P225" s="140">
        <v>18.19</v>
      </c>
      <c r="Q225" s="159">
        <f t="shared" si="54"/>
        <v>14552.000000000002</v>
      </c>
      <c r="R225" s="140">
        <v>200</v>
      </c>
      <c r="S225" s="151">
        <f t="shared" si="56"/>
        <v>3638.0000000000005</v>
      </c>
      <c r="T225" s="142">
        <v>200</v>
      </c>
      <c r="U225" s="151">
        <f t="shared" si="57"/>
        <v>3638.0000000000005</v>
      </c>
      <c r="V225" s="140">
        <v>200</v>
      </c>
      <c r="W225" s="151">
        <f t="shared" si="58"/>
        <v>3638.0000000000005</v>
      </c>
      <c r="X225" s="142">
        <v>200</v>
      </c>
      <c r="Y225" s="151">
        <f t="shared" si="59"/>
        <v>3638.0000000000005</v>
      </c>
      <c r="Z225" s="146"/>
      <c r="AA225" s="155">
        <f t="shared" si="60"/>
        <v>800</v>
      </c>
      <c r="AB225" s="155">
        <f t="shared" si="55"/>
        <v>0</v>
      </c>
      <c r="AC225" s="149">
        <f t="shared" si="49"/>
        <v>200</v>
      </c>
      <c r="AD225" s="156">
        <f t="shared" si="50"/>
        <v>3638.0000000000005</v>
      </c>
      <c r="AG225" s="149">
        <v>730</v>
      </c>
      <c r="AH225" s="149">
        <v>10585</v>
      </c>
      <c r="AI225" s="150" t="s">
        <v>1300</v>
      </c>
      <c r="AJ225" s="206">
        <f t="shared" si="53"/>
        <v>876</v>
      </c>
      <c r="AL225" s="149">
        <f t="shared" si="51"/>
        <v>0</v>
      </c>
    </row>
    <row r="226" spans="1:38" ht="15">
      <c r="A226" s="140">
        <v>10949</v>
      </c>
      <c r="B226" s="140">
        <v>212</v>
      </c>
      <c r="C226" s="146"/>
      <c r="D226" s="147"/>
      <c r="E226" s="191" t="s">
        <v>1484</v>
      </c>
      <c r="F226" s="153">
        <v>1</v>
      </c>
      <c r="G226" s="154" t="s">
        <v>1245</v>
      </c>
      <c r="H226" s="140">
        <v>100</v>
      </c>
      <c r="I226" s="140" t="s">
        <v>376</v>
      </c>
      <c r="J226" s="140">
        <v>0</v>
      </c>
      <c r="K226" s="142">
        <v>60</v>
      </c>
      <c r="L226" s="142">
        <v>36</v>
      </c>
      <c r="M226" s="143">
        <v>40</v>
      </c>
      <c r="N226" s="144">
        <v>0</v>
      </c>
      <c r="O226" s="143">
        <f t="shared" si="52"/>
        <v>40</v>
      </c>
      <c r="P226" s="140">
        <v>200</v>
      </c>
      <c r="Q226" s="159">
        <f t="shared" si="54"/>
        <v>8000</v>
      </c>
      <c r="R226" s="140">
        <v>10</v>
      </c>
      <c r="S226" s="151">
        <f t="shared" si="56"/>
        <v>2000</v>
      </c>
      <c r="T226" s="142">
        <v>10</v>
      </c>
      <c r="U226" s="151">
        <f t="shared" si="57"/>
        <v>2000</v>
      </c>
      <c r="V226" s="140">
        <v>10</v>
      </c>
      <c r="W226" s="151">
        <f t="shared" si="58"/>
        <v>2000</v>
      </c>
      <c r="X226" s="142">
        <v>10</v>
      </c>
      <c r="Y226" s="151">
        <f t="shared" si="59"/>
        <v>2000</v>
      </c>
      <c r="Z226" s="146"/>
      <c r="AA226" s="155">
        <f t="shared" si="60"/>
        <v>40</v>
      </c>
      <c r="AB226" s="155">
        <f t="shared" si="55"/>
        <v>0</v>
      </c>
      <c r="AC226" s="149">
        <f t="shared" si="49"/>
        <v>10</v>
      </c>
      <c r="AD226" s="156"/>
      <c r="AG226" s="149">
        <v>30</v>
      </c>
      <c r="AH226" s="149">
        <v>6000</v>
      </c>
      <c r="AJ226" s="206">
        <f t="shared" si="53"/>
        <v>36</v>
      </c>
      <c r="AL226" s="149">
        <f t="shared" si="51"/>
        <v>0</v>
      </c>
    </row>
    <row r="227" spans="1:38" ht="15">
      <c r="A227" s="140">
        <v>10949</v>
      </c>
      <c r="B227" s="140">
        <v>213</v>
      </c>
      <c r="C227" s="146"/>
      <c r="D227" s="147"/>
      <c r="E227" s="191" t="s">
        <v>130</v>
      </c>
      <c r="F227" s="153">
        <v>1</v>
      </c>
      <c r="G227" s="154" t="s">
        <v>1249</v>
      </c>
      <c r="H227" s="140">
        <v>60</v>
      </c>
      <c r="I227" s="140" t="s">
        <v>1250</v>
      </c>
      <c r="J227" s="140">
        <v>960</v>
      </c>
      <c r="K227" s="142">
        <v>460</v>
      </c>
      <c r="L227" s="142">
        <v>438</v>
      </c>
      <c r="M227" s="143">
        <v>450</v>
      </c>
      <c r="N227" s="144">
        <v>150</v>
      </c>
      <c r="O227" s="143">
        <f t="shared" si="52"/>
        <v>300</v>
      </c>
      <c r="P227" s="140">
        <v>6</v>
      </c>
      <c r="Q227" s="159">
        <f t="shared" si="54"/>
        <v>1800</v>
      </c>
      <c r="R227" s="140">
        <v>0</v>
      </c>
      <c r="S227" s="151">
        <f t="shared" si="56"/>
        <v>0</v>
      </c>
      <c r="T227" s="142">
        <v>100</v>
      </c>
      <c r="U227" s="151">
        <f t="shared" si="57"/>
        <v>600</v>
      </c>
      <c r="V227" s="140">
        <v>100</v>
      </c>
      <c r="W227" s="151">
        <f t="shared" si="58"/>
        <v>600</v>
      </c>
      <c r="X227" s="142">
        <v>100</v>
      </c>
      <c r="Y227" s="151">
        <f t="shared" si="59"/>
        <v>600</v>
      </c>
      <c r="Z227" s="146"/>
      <c r="AA227" s="155">
        <f t="shared" si="60"/>
        <v>300</v>
      </c>
      <c r="AB227" s="155">
        <f t="shared" si="55"/>
        <v>0</v>
      </c>
      <c r="AC227" s="149">
        <f t="shared" si="49"/>
        <v>75</v>
      </c>
      <c r="AD227" s="156">
        <f t="shared" si="50"/>
        <v>450</v>
      </c>
      <c r="AG227" s="149">
        <v>365</v>
      </c>
      <c r="AH227" s="149">
        <v>2190</v>
      </c>
      <c r="AI227" s="150" t="s">
        <v>1352</v>
      </c>
      <c r="AJ227" s="206">
        <f t="shared" si="53"/>
        <v>438</v>
      </c>
      <c r="AL227" s="149">
        <f t="shared" si="51"/>
        <v>0</v>
      </c>
    </row>
    <row r="228" spans="1:38" ht="16.5" customHeight="1">
      <c r="A228" s="140">
        <v>10949</v>
      </c>
      <c r="B228" s="140">
        <v>214</v>
      </c>
      <c r="C228" s="146" t="s">
        <v>911</v>
      </c>
      <c r="D228" s="147" t="s">
        <v>910</v>
      </c>
      <c r="E228" s="152" t="s">
        <v>1382</v>
      </c>
      <c r="F228" s="140">
        <v>1</v>
      </c>
      <c r="G228" s="146" t="s">
        <v>1245</v>
      </c>
      <c r="H228" s="140">
        <v>10</v>
      </c>
      <c r="I228" s="140" t="s">
        <v>376</v>
      </c>
      <c r="J228" s="140">
        <v>4</v>
      </c>
      <c r="K228" s="169">
        <v>2</v>
      </c>
      <c r="L228" s="142">
        <v>0</v>
      </c>
      <c r="M228" s="143">
        <v>10</v>
      </c>
      <c r="N228" s="140">
        <v>0</v>
      </c>
      <c r="O228" s="143">
        <f t="shared" si="52"/>
        <v>10</v>
      </c>
      <c r="P228" s="140">
        <v>87.975</v>
      </c>
      <c r="Q228" s="159">
        <f t="shared" si="54"/>
        <v>879.75</v>
      </c>
      <c r="R228" s="159">
        <v>10</v>
      </c>
      <c r="S228" s="151">
        <f t="shared" si="56"/>
        <v>879.75</v>
      </c>
      <c r="T228" s="159">
        <v>0</v>
      </c>
      <c r="U228" s="151">
        <f t="shared" si="57"/>
        <v>0</v>
      </c>
      <c r="V228" s="159">
        <v>0</v>
      </c>
      <c r="W228" s="151">
        <f t="shared" si="58"/>
        <v>0</v>
      </c>
      <c r="X228" s="159">
        <v>0</v>
      </c>
      <c r="Y228" s="151">
        <f t="shared" si="59"/>
        <v>0</v>
      </c>
      <c r="Z228" s="146"/>
      <c r="AA228" s="155">
        <f t="shared" si="60"/>
        <v>10</v>
      </c>
      <c r="AB228" s="155">
        <f t="shared" si="55"/>
        <v>0</v>
      </c>
      <c r="AC228" s="149">
        <f t="shared" si="49"/>
        <v>2.5</v>
      </c>
      <c r="AD228" s="156">
        <f t="shared" si="50"/>
        <v>219.9375</v>
      </c>
      <c r="AI228" s="150" t="s">
        <v>1354</v>
      </c>
      <c r="AJ228" s="206">
        <f t="shared" si="53"/>
        <v>0</v>
      </c>
      <c r="AL228" s="149">
        <f t="shared" si="51"/>
        <v>0</v>
      </c>
    </row>
    <row r="229" spans="1:38" ht="15">
      <c r="A229" s="140">
        <v>10949</v>
      </c>
      <c r="B229" s="140">
        <v>215</v>
      </c>
      <c r="C229" s="146" t="s">
        <v>913</v>
      </c>
      <c r="D229" s="147" t="s">
        <v>912</v>
      </c>
      <c r="E229" s="191" t="s">
        <v>1229</v>
      </c>
      <c r="F229" s="153">
        <v>1</v>
      </c>
      <c r="G229" s="154" t="s">
        <v>1245</v>
      </c>
      <c r="H229" s="140">
        <v>30</v>
      </c>
      <c r="I229" s="140" t="s">
        <v>376</v>
      </c>
      <c r="J229" s="140">
        <v>25</v>
      </c>
      <c r="K229" s="142">
        <v>37</v>
      </c>
      <c r="L229" s="142">
        <v>12</v>
      </c>
      <c r="M229" s="143">
        <v>30</v>
      </c>
      <c r="N229" s="144">
        <v>0</v>
      </c>
      <c r="O229" s="143">
        <f t="shared" si="52"/>
        <v>30</v>
      </c>
      <c r="P229" s="140">
        <v>350</v>
      </c>
      <c r="Q229" s="159">
        <f t="shared" si="54"/>
        <v>10500</v>
      </c>
      <c r="R229" s="140">
        <v>10</v>
      </c>
      <c r="S229" s="151">
        <f t="shared" si="56"/>
        <v>3500</v>
      </c>
      <c r="T229" s="142">
        <v>10</v>
      </c>
      <c r="U229" s="151">
        <f t="shared" si="57"/>
        <v>3500</v>
      </c>
      <c r="V229" s="140">
        <v>10</v>
      </c>
      <c r="W229" s="151">
        <f t="shared" si="58"/>
        <v>3500</v>
      </c>
      <c r="X229" s="142">
        <v>0</v>
      </c>
      <c r="Y229" s="151">
        <f t="shared" si="59"/>
        <v>0</v>
      </c>
      <c r="Z229" s="146"/>
      <c r="AA229" s="155">
        <f t="shared" si="60"/>
        <v>30</v>
      </c>
      <c r="AB229" s="155">
        <f t="shared" si="55"/>
        <v>0</v>
      </c>
      <c r="AC229" s="149">
        <f t="shared" si="49"/>
        <v>7.5</v>
      </c>
      <c r="AD229" s="156">
        <f t="shared" si="50"/>
        <v>2625</v>
      </c>
      <c r="AG229" s="149">
        <v>10</v>
      </c>
      <c r="AH229" s="149">
        <v>3500</v>
      </c>
      <c r="AI229" s="150" t="s">
        <v>1352</v>
      </c>
      <c r="AJ229" s="206">
        <f t="shared" si="53"/>
        <v>12</v>
      </c>
      <c r="AL229" s="149">
        <f t="shared" si="51"/>
        <v>0</v>
      </c>
    </row>
    <row r="230" spans="1:38" ht="15">
      <c r="A230" s="140">
        <v>10949</v>
      </c>
      <c r="B230" s="140">
        <v>216</v>
      </c>
      <c r="C230" s="146"/>
      <c r="D230" s="147"/>
      <c r="E230" s="191" t="s">
        <v>1230</v>
      </c>
      <c r="F230" s="153">
        <v>1</v>
      </c>
      <c r="G230" s="154" t="s">
        <v>1254</v>
      </c>
      <c r="H230" s="140">
        <v>60</v>
      </c>
      <c r="I230" s="140" t="s">
        <v>1250</v>
      </c>
      <c r="J230" s="140">
        <v>30</v>
      </c>
      <c r="K230" s="142">
        <v>60</v>
      </c>
      <c r="L230" s="142">
        <v>60</v>
      </c>
      <c r="M230" s="143">
        <v>60</v>
      </c>
      <c r="N230" s="144">
        <v>0</v>
      </c>
      <c r="O230" s="143">
        <f t="shared" si="52"/>
        <v>60</v>
      </c>
      <c r="P230" s="140">
        <v>42.5</v>
      </c>
      <c r="Q230" s="159">
        <f t="shared" si="54"/>
        <v>2550</v>
      </c>
      <c r="R230" s="140">
        <v>15</v>
      </c>
      <c r="S230" s="151">
        <f t="shared" si="56"/>
        <v>637.5</v>
      </c>
      <c r="T230" s="142">
        <v>15</v>
      </c>
      <c r="U230" s="151">
        <f t="shared" si="57"/>
        <v>637.5</v>
      </c>
      <c r="V230" s="140">
        <v>15</v>
      </c>
      <c r="W230" s="151">
        <f t="shared" si="58"/>
        <v>637.5</v>
      </c>
      <c r="X230" s="142">
        <v>15</v>
      </c>
      <c r="Y230" s="151">
        <f t="shared" si="59"/>
        <v>637.5</v>
      </c>
      <c r="Z230" s="146"/>
      <c r="AA230" s="155">
        <f t="shared" si="60"/>
        <v>60</v>
      </c>
      <c r="AB230" s="155">
        <f t="shared" si="55"/>
        <v>0</v>
      </c>
      <c r="AC230" s="149">
        <f aca="true" t="shared" si="61" ref="AC230:AC251">O230/4</f>
        <v>15</v>
      </c>
      <c r="AD230" s="156">
        <f t="shared" si="50"/>
        <v>637.5</v>
      </c>
      <c r="AG230" s="149">
        <v>50</v>
      </c>
      <c r="AH230" s="149">
        <v>2250</v>
      </c>
      <c r="AI230" s="150" t="s">
        <v>1352</v>
      </c>
      <c r="AJ230" s="206">
        <f t="shared" si="53"/>
        <v>60</v>
      </c>
      <c r="AL230" s="149">
        <f t="shared" si="51"/>
        <v>0</v>
      </c>
    </row>
    <row r="231" spans="1:38" ht="15">
      <c r="A231" s="130" t="s">
        <v>1199</v>
      </c>
      <c r="B231" s="130" t="s">
        <v>2</v>
      </c>
      <c r="C231" s="130" t="s">
        <v>1200</v>
      </c>
      <c r="D231" s="198" t="s">
        <v>1201</v>
      </c>
      <c r="E231" s="134" t="s">
        <v>1285</v>
      </c>
      <c r="F231" s="134" t="s">
        <v>1295</v>
      </c>
      <c r="G231" s="134" t="s">
        <v>1202</v>
      </c>
      <c r="H231" s="130" t="s">
        <v>1579</v>
      </c>
      <c r="I231" s="130" t="s">
        <v>1203</v>
      </c>
      <c r="J231" s="199"/>
      <c r="K231" s="131" t="s">
        <v>1205</v>
      </c>
      <c r="L231" s="132"/>
      <c r="M231" s="133" t="s">
        <v>0</v>
      </c>
      <c r="N231" s="134" t="s">
        <v>1214</v>
      </c>
      <c r="O231" s="133" t="s">
        <v>0</v>
      </c>
      <c r="P231" s="130" t="s">
        <v>1390</v>
      </c>
      <c r="Q231" s="200" t="s">
        <v>1206</v>
      </c>
      <c r="R231" s="201" t="s">
        <v>1289</v>
      </c>
      <c r="S231" s="132"/>
      <c r="T231" s="201" t="s">
        <v>1290</v>
      </c>
      <c r="U231" s="202"/>
      <c r="V231" s="201" t="s">
        <v>1291</v>
      </c>
      <c r="W231" s="132"/>
      <c r="X231" s="201" t="s">
        <v>1292</v>
      </c>
      <c r="Y231" s="202"/>
      <c r="Z231" s="203" t="s">
        <v>608</v>
      </c>
      <c r="AA231" s="204"/>
      <c r="AB231" s="204"/>
      <c r="AC231" s="149" t="s">
        <v>1318</v>
      </c>
      <c r="AD231" s="149" t="s">
        <v>1389</v>
      </c>
      <c r="AE231" s="205" t="s">
        <v>3</v>
      </c>
      <c r="AF231" s="205" t="s">
        <v>1349</v>
      </c>
      <c r="AG231" s="149" t="s">
        <v>1297</v>
      </c>
      <c r="AH231" s="149" t="s">
        <v>6</v>
      </c>
      <c r="AI231" s="150" t="s">
        <v>1307</v>
      </c>
      <c r="AJ231" s="206" t="s">
        <v>1303</v>
      </c>
      <c r="AK231" s="149" t="s">
        <v>4</v>
      </c>
      <c r="AL231" s="149" t="s">
        <v>1304</v>
      </c>
    </row>
    <row r="232" spans="1:35" ht="15">
      <c r="A232" s="135"/>
      <c r="B232" s="139"/>
      <c r="C232" s="207"/>
      <c r="D232" s="208"/>
      <c r="E232" s="136"/>
      <c r="F232" s="136" t="s">
        <v>1294</v>
      </c>
      <c r="G232" s="136"/>
      <c r="H232" s="139" t="s">
        <v>1204</v>
      </c>
      <c r="I232" s="136" t="s">
        <v>1204</v>
      </c>
      <c r="J232" s="136">
        <v>2562</v>
      </c>
      <c r="K232" s="136">
        <v>2563</v>
      </c>
      <c r="L232" s="137">
        <v>2564</v>
      </c>
      <c r="M232" s="138" t="s">
        <v>1537</v>
      </c>
      <c r="N232" s="136" t="s">
        <v>4</v>
      </c>
      <c r="O232" s="138" t="s">
        <v>1538</v>
      </c>
      <c r="P232" s="139" t="s">
        <v>1286</v>
      </c>
      <c r="Q232" s="209" t="s">
        <v>1391</v>
      </c>
      <c r="R232" s="210" t="s">
        <v>5</v>
      </c>
      <c r="S232" s="139" t="s">
        <v>1208</v>
      </c>
      <c r="T232" s="139" t="s">
        <v>5</v>
      </c>
      <c r="U232" s="211" t="s">
        <v>1208</v>
      </c>
      <c r="V232" s="210" t="s">
        <v>5</v>
      </c>
      <c r="W232" s="139" t="s">
        <v>1208</v>
      </c>
      <c r="X232" s="139" t="s">
        <v>5</v>
      </c>
      <c r="Y232" s="211" t="s">
        <v>1208</v>
      </c>
      <c r="Z232" s="207"/>
      <c r="AA232" s="197"/>
      <c r="AB232" s="197"/>
      <c r="AG232" s="149" t="s">
        <v>1494</v>
      </c>
      <c r="AH232" s="149" t="s">
        <v>1207</v>
      </c>
      <c r="AI232" s="150" t="s">
        <v>1308</v>
      </c>
    </row>
    <row r="233" spans="1:38" ht="15">
      <c r="A233" s="140">
        <v>10949</v>
      </c>
      <c r="B233" s="140">
        <v>217</v>
      </c>
      <c r="C233" s="146" t="s">
        <v>915</v>
      </c>
      <c r="D233" s="147" t="s">
        <v>914</v>
      </c>
      <c r="E233" s="191" t="s">
        <v>399</v>
      </c>
      <c r="F233" s="153">
        <v>1</v>
      </c>
      <c r="G233" s="154" t="s">
        <v>1248</v>
      </c>
      <c r="H233" s="140">
        <v>1</v>
      </c>
      <c r="I233" s="140" t="s">
        <v>389</v>
      </c>
      <c r="J233" s="140">
        <v>150</v>
      </c>
      <c r="K233" s="142">
        <v>220</v>
      </c>
      <c r="L233" s="142">
        <v>300</v>
      </c>
      <c r="M233" s="143">
        <v>300</v>
      </c>
      <c r="N233" s="144">
        <v>0</v>
      </c>
      <c r="O233" s="143">
        <f t="shared" si="52"/>
        <v>300</v>
      </c>
      <c r="P233" s="140">
        <v>6.5</v>
      </c>
      <c r="Q233" s="159">
        <f t="shared" si="54"/>
        <v>1950</v>
      </c>
      <c r="R233" s="140">
        <v>100</v>
      </c>
      <c r="S233" s="151">
        <f t="shared" si="56"/>
        <v>650</v>
      </c>
      <c r="T233" s="142">
        <v>0</v>
      </c>
      <c r="U233" s="151">
        <f t="shared" si="57"/>
        <v>0</v>
      </c>
      <c r="V233" s="140">
        <v>100</v>
      </c>
      <c r="W233" s="151">
        <f t="shared" si="58"/>
        <v>650</v>
      </c>
      <c r="X233" s="142">
        <v>100</v>
      </c>
      <c r="Y233" s="151">
        <f t="shared" si="59"/>
        <v>650</v>
      </c>
      <c r="Z233" s="146"/>
      <c r="AA233" s="155">
        <f t="shared" si="60"/>
        <v>300</v>
      </c>
      <c r="AB233" s="155">
        <f t="shared" si="55"/>
        <v>0</v>
      </c>
      <c r="AC233" s="149">
        <f t="shared" si="61"/>
        <v>75</v>
      </c>
      <c r="AD233" s="156">
        <f t="shared" si="50"/>
        <v>487.5</v>
      </c>
      <c r="AG233" s="149">
        <v>250</v>
      </c>
      <c r="AH233" s="149">
        <v>1625</v>
      </c>
      <c r="AI233" s="150" t="s">
        <v>1300</v>
      </c>
      <c r="AJ233" s="206">
        <f t="shared" si="53"/>
        <v>300</v>
      </c>
      <c r="AL233" s="149">
        <f t="shared" si="51"/>
        <v>0</v>
      </c>
    </row>
    <row r="234" spans="1:38" ht="15">
      <c r="A234" s="140">
        <v>10949</v>
      </c>
      <c r="B234" s="140">
        <v>218</v>
      </c>
      <c r="C234" s="146"/>
      <c r="D234" s="147"/>
      <c r="E234" s="191" t="s">
        <v>132</v>
      </c>
      <c r="F234" s="153">
        <v>1</v>
      </c>
      <c r="G234" s="154" t="s">
        <v>1254</v>
      </c>
      <c r="H234" s="140">
        <v>60</v>
      </c>
      <c r="I234" s="140" t="s">
        <v>1250</v>
      </c>
      <c r="J234" s="140">
        <v>580</v>
      </c>
      <c r="K234" s="142">
        <v>530</v>
      </c>
      <c r="L234" s="142">
        <v>564</v>
      </c>
      <c r="M234" s="143">
        <v>600</v>
      </c>
      <c r="N234" s="144">
        <v>200</v>
      </c>
      <c r="O234" s="143">
        <f t="shared" si="52"/>
        <v>400</v>
      </c>
      <c r="P234" s="140">
        <v>15</v>
      </c>
      <c r="Q234" s="159">
        <f t="shared" si="54"/>
        <v>6000</v>
      </c>
      <c r="R234" s="140">
        <v>100</v>
      </c>
      <c r="S234" s="151">
        <f t="shared" si="56"/>
        <v>1500</v>
      </c>
      <c r="T234" s="142">
        <v>100</v>
      </c>
      <c r="U234" s="151">
        <f t="shared" si="57"/>
        <v>1500</v>
      </c>
      <c r="V234" s="140">
        <v>100</v>
      </c>
      <c r="W234" s="151">
        <f t="shared" si="58"/>
        <v>1500</v>
      </c>
      <c r="X234" s="142">
        <v>100</v>
      </c>
      <c r="Y234" s="151">
        <f t="shared" si="59"/>
        <v>1500</v>
      </c>
      <c r="Z234" s="146"/>
      <c r="AA234" s="155">
        <f t="shared" si="60"/>
        <v>400</v>
      </c>
      <c r="AB234" s="155">
        <f t="shared" si="55"/>
        <v>0</v>
      </c>
      <c r="AC234" s="149">
        <f t="shared" si="61"/>
        <v>100</v>
      </c>
      <c r="AD234" s="156">
        <f t="shared" si="50"/>
        <v>1500</v>
      </c>
      <c r="AG234" s="149">
        <v>470</v>
      </c>
      <c r="AH234" s="149">
        <v>4700</v>
      </c>
      <c r="AI234" s="150" t="s">
        <v>1356</v>
      </c>
      <c r="AJ234" s="206">
        <f t="shared" si="53"/>
        <v>564</v>
      </c>
      <c r="AL234" s="149">
        <f t="shared" si="51"/>
        <v>0</v>
      </c>
    </row>
    <row r="235" spans="1:38" ht="15">
      <c r="A235" s="140">
        <v>10949</v>
      </c>
      <c r="B235" s="140">
        <v>219</v>
      </c>
      <c r="C235" s="212">
        <v>738061</v>
      </c>
      <c r="D235" s="147" t="s">
        <v>916</v>
      </c>
      <c r="E235" s="191" t="s">
        <v>133</v>
      </c>
      <c r="F235" s="153">
        <v>1</v>
      </c>
      <c r="G235" s="154" t="s">
        <v>1245</v>
      </c>
      <c r="H235" s="140">
        <v>1000</v>
      </c>
      <c r="I235" s="140" t="s">
        <v>376</v>
      </c>
      <c r="J235" s="140">
        <v>161</v>
      </c>
      <c r="K235" s="142">
        <v>207</v>
      </c>
      <c r="L235" s="142">
        <v>211.20000000000002</v>
      </c>
      <c r="M235" s="143">
        <v>220</v>
      </c>
      <c r="N235" s="144">
        <v>20</v>
      </c>
      <c r="O235" s="143">
        <f t="shared" si="52"/>
        <v>200</v>
      </c>
      <c r="P235" s="140">
        <v>190</v>
      </c>
      <c r="Q235" s="159">
        <f t="shared" si="54"/>
        <v>38000</v>
      </c>
      <c r="R235" s="140">
        <v>50</v>
      </c>
      <c r="S235" s="151">
        <f t="shared" si="56"/>
        <v>9500</v>
      </c>
      <c r="T235" s="142">
        <v>50</v>
      </c>
      <c r="U235" s="151">
        <f t="shared" si="57"/>
        <v>9500</v>
      </c>
      <c r="V235" s="140">
        <v>50</v>
      </c>
      <c r="W235" s="151">
        <f t="shared" si="58"/>
        <v>9500</v>
      </c>
      <c r="X235" s="142">
        <v>50</v>
      </c>
      <c r="Y235" s="151">
        <f t="shared" si="59"/>
        <v>9500</v>
      </c>
      <c r="Z235" s="146"/>
      <c r="AA235" s="155">
        <f t="shared" si="60"/>
        <v>200</v>
      </c>
      <c r="AB235" s="155">
        <f t="shared" si="55"/>
        <v>0</v>
      </c>
      <c r="AC235" s="149">
        <f t="shared" si="61"/>
        <v>50</v>
      </c>
      <c r="AD235" s="156">
        <f t="shared" si="50"/>
        <v>9500</v>
      </c>
      <c r="AG235" s="149">
        <v>176</v>
      </c>
      <c r="AH235" s="149">
        <v>33440</v>
      </c>
      <c r="AI235" s="150" t="s">
        <v>1356</v>
      </c>
      <c r="AJ235" s="206">
        <f t="shared" si="53"/>
        <v>211.20000000000002</v>
      </c>
      <c r="AL235" s="149">
        <f t="shared" si="51"/>
        <v>0</v>
      </c>
    </row>
    <row r="236" spans="1:38" ht="15">
      <c r="A236" s="140">
        <v>10949</v>
      </c>
      <c r="B236" s="140">
        <v>220</v>
      </c>
      <c r="C236" s="146" t="s">
        <v>918</v>
      </c>
      <c r="D236" s="147" t="s">
        <v>917</v>
      </c>
      <c r="E236" s="191" t="s">
        <v>218</v>
      </c>
      <c r="F236" s="153">
        <v>2</v>
      </c>
      <c r="G236" s="154" t="s">
        <v>1246</v>
      </c>
      <c r="H236" s="140">
        <v>50</v>
      </c>
      <c r="I236" s="140" t="s">
        <v>1235</v>
      </c>
      <c r="J236" s="140">
        <f>965*60/50</f>
        <v>1158</v>
      </c>
      <c r="K236" s="142">
        <v>1047.8</v>
      </c>
      <c r="L236" s="142">
        <v>894.72</v>
      </c>
      <c r="M236" s="143">
        <v>1000</v>
      </c>
      <c r="N236" s="144">
        <v>200</v>
      </c>
      <c r="O236" s="143">
        <f t="shared" si="52"/>
        <v>800</v>
      </c>
      <c r="P236" s="140">
        <v>48</v>
      </c>
      <c r="Q236" s="159">
        <f t="shared" si="54"/>
        <v>38400</v>
      </c>
      <c r="R236" s="140">
        <v>200</v>
      </c>
      <c r="S236" s="151">
        <f t="shared" si="56"/>
        <v>9600</v>
      </c>
      <c r="T236" s="142">
        <v>200</v>
      </c>
      <c r="U236" s="151">
        <f t="shared" si="57"/>
        <v>9600</v>
      </c>
      <c r="V236" s="140">
        <v>200</v>
      </c>
      <c r="W236" s="151">
        <f t="shared" si="58"/>
        <v>9600</v>
      </c>
      <c r="X236" s="142">
        <v>200</v>
      </c>
      <c r="Y236" s="151">
        <f t="shared" si="59"/>
        <v>9600</v>
      </c>
      <c r="Z236" s="146"/>
      <c r="AA236" s="155">
        <f t="shared" si="60"/>
        <v>800</v>
      </c>
      <c r="AB236" s="155">
        <f t="shared" si="55"/>
        <v>0</v>
      </c>
      <c r="AC236" s="149">
        <f t="shared" si="61"/>
        <v>200</v>
      </c>
      <c r="AD236" s="156">
        <f t="shared" si="50"/>
        <v>9600</v>
      </c>
      <c r="AG236" s="149">
        <f>544+201.6</f>
        <v>745.6</v>
      </c>
      <c r="AH236" s="149">
        <f>26262+14681.4</f>
        <v>40943.4</v>
      </c>
      <c r="AI236" s="150" t="s">
        <v>1358</v>
      </c>
      <c r="AJ236" s="206">
        <f t="shared" si="53"/>
        <v>894.72</v>
      </c>
      <c r="AL236" s="149">
        <f t="shared" si="51"/>
        <v>0</v>
      </c>
    </row>
    <row r="237" spans="1:38" ht="15">
      <c r="A237" s="140">
        <v>10949</v>
      </c>
      <c r="B237" s="140">
        <v>221</v>
      </c>
      <c r="C237" s="146"/>
      <c r="D237" s="147"/>
      <c r="E237" s="191" t="s">
        <v>1498</v>
      </c>
      <c r="F237" s="153">
        <v>1</v>
      </c>
      <c r="G237" s="154" t="s">
        <v>1248</v>
      </c>
      <c r="H237" s="140">
        <v>1</v>
      </c>
      <c r="I237" s="140" t="s">
        <v>377</v>
      </c>
      <c r="J237" s="140">
        <v>100</v>
      </c>
      <c r="K237" s="142">
        <v>350</v>
      </c>
      <c r="L237" s="142">
        <v>300</v>
      </c>
      <c r="M237" s="143">
        <v>300</v>
      </c>
      <c r="N237" s="144">
        <v>100</v>
      </c>
      <c r="O237" s="143">
        <f t="shared" si="52"/>
        <v>200</v>
      </c>
      <c r="P237" s="140">
        <v>18.4</v>
      </c>
      <c r="Q237" s="159">
        <f t="shared" si="54"/>
        <v>3679.9999999999995</v>
      </c>
      <c r="R237" s="140">
        <v>0</v>
      </c>
      <c r="S237" s="151">
        <f t="shared" si="56"/>
        <v>0</v>
      </c>
      <c r="T237" s="142">
        <v>100</v>
      </c>
      <c r="U237" s="151">
        <f t="shared" si="57"/>
        <v>1839.9999999999998</v>
      </c>
      <c r="V237" s="140">
        <v>0</v>
      </c>
      <c r="W237" s="151">
        <f t="shared" si="58"/>
        <v>0</v>
      </c>
      <c r="X237" s="142">
        <v>100</v>
      </c>
      <c r="Y237" s="151">
        <f t="shared" si="59"/>
        <v>1839.9999999999998</v>
      </c>
      <c r="Z237" s="146"/>
      <c r="AA237" s="155">
        <f t="shared" si="60"/>
        <v>200</v>
      </c>
      <c r="AB237" s="155">
        <f>O237-AA237</f>
        <v>0</v>
      </c>
      <c r="AC237" s="149">
        <f>O237/4</f>
        <v>50</v>
      </c>
      <c r="AD237" s="156"/>
      <c r="AG237" s="149">
        <v>250</v>
      </c>
      <c r="AH237" s="149">
        <v>4500</v>
      </c>
      <c r="AJ237" s="206">
        <f t="shared" si="53"/>
        <v>300</v>
      </c>
      <c r="AL237" s="149">
        <f t="shared" si="51"/>
        <v>0</v>
      </c>
    </row>
    <row r="238" spans="1:38" ht="15">
      <c r="A238" s="140">
        <v>10949</v>
      </c>
      <c r="B238" s="140">
        <v>222</v>
      </c>
      <c r="C238" s="146"/>
      <c r="D238" s="147"/>
      <c r="E238" s="191" t="s">
        <v>134</v>
      </c>
      <c r="F238" s="153">
        <v>1</v>
      </c>
      <c r="G238" s="154" t="s">
        <v>1248</v>
      </c>
      <c r="H238" s="140">
        <v>1</v>
      </c>
      <c r="I238" s="140" t="s">
        <v>389</v>
      </c>
      <c r="J238" s="140">
        <v>10</v>
      </c>
      <c r="K238" s="142">
        <v>0</v>
      </c>
      <c r="L238" s="142">
        <v>0</v>
      </c>
      <c r="M238" s="143">
        <v>5</v>
      </c>
      <c r="N238" s="144">
        <v>0</v>
      </c>
      <c r="O238" s="143">
        <f t="shared" si="52"/>
        <v>5</v>
      </c>
      <c r="P238" s="140">
        <v>203</v>
      </c>
      <c r="Q238" s="159">
        <f t="shared" si="54"/>
        <v>1015</v>
      </c>
      <c r="R238" s="140">
        <v>2</v>
      </c>
      <c r="S238" s="151">
        <f t="shared" si="56"/>
        <v>406</v>
      </c>
      <c r="T238" s="142">
        <v>0</v>
      </c>
      <c r="U238" s="151">
        <f t="shared" si="57"/>
        <v>0</v>
      </c>
      <c r="V238" s="140">
        <v>3</v>
      </c>
      <c r="W238" s="151">
        <f t="shared" si="58"/>
        <v>609</v>
      </c>
      <c r="X238" s="142">
        <v>0</v>
      </c>
      <c r="Y238" s="151">
        <f t="shared" si="59"/>
        <v>0</v>
      </c>
      <c r="Z238" s="146"/>
      <c r="AA238" s="155">
        <f t="shared" si="60"/>
        <v>5</v>
      </c>
      <c r="AB238" s="155">
        <f t="shared" si="55"/>
        <v>0</v>
      </c>
      <c r="AC238" s="149">
        <f t="shared" si="61"/>
        <v>1.25</v>
      </c>
      <c r="AD238" s="156">
        <f aca="true" t="shared" si="62" ref="AD238:AD272">Q238/4</f>
        <v>253.75</v>
      </c>
      <c r="AJ238" s="206">
        <f t="shared" si="53"/>
        <v>0</v>
      </c>
      <c r="AL238" s="149">
        <f t="shared" si="51"/>
        <v>0</v>
      </c>
    </row>
    <row r="239" spans="1:38" ht="15">
      <c r="A239" s="140">
        <v>10949</v>
      </c>
      <c r="B239" s="140">
        <v>223</v>
      </c>
      <c r="C239" s="146" t="s">
        <v>920</v>
      </c>
      <c r="D239" s="147" t="s">
        <v>919</v>
      </c>
      <c r="E239" s="196" t="s">
        <v>604</v>
      </c>
      <c r="F239" s="153">
        <v>1</v>
      </c>
      <c r="G239" s="222" t="s">
        <v>1248</v>
      </c>
      <c r="H239" s="140">
        <v>1</v>
      </c>
      <c r="I239" s="140" t="s">
        <v>377</v>
      </c>
      <c r="J239" s="140">
        <v>347</v>
      </c>
      <c r="K239" s="142">
        <v>187</v>
      </c>
      <c r="L239" s="142">
        <v>349.20000000000005</v>
      </c>
      <c r="M239" s="143">
        <v>350</v>
      </c>
      <c r="N239" s="144">
        <v>50</v>
      </c>
      <c r="O239" s="143">
        <f t="shared" si="52"/>
        <v>300</v>
      </c>
      <c r="P239" s="140">
        <v>78</v>
      </c>
      <c r="Q239" s="159">
        <f t="shared" si="54"/>
        <v>23400</v>
      </c>
      <c r="R239" s="140">
        <v>100</v>
      </c>
      <c r="S239" s="151">
        <f t="shared" si="56"/>
        <v>7800</v>
      </c>
      <c r="T239" s="142">
        <v>0</v>
      </c>
      <c r="U239" s="151">
        <f t="shared" si="57"/>
        <v>0</v>
      </c>
      <c r="V239" s="140">
        <v>100</v>
      </c>
      <c r="W239" s="151">
        <f t="shared" si="58"/>
        <v>7800</v>
      </c>
      <c r="X239" s="142">
        <v>100</v>
      </c>
      <c r="Y239" s="151">
        <f t="shared" si="59"/>
        <v>7800</v>
      </c>
      <c r="Z239" s="146"/>
      <c r="AA239" s="155">
        <f t="shared" si="60"/>
        <v>300</v>
      </c>
      <c r="AB239" s="155">
        <f t="shared" si="55"/>
        <v>0</v>
      </c>
      <c r="AC239" s="149">
        <f t="shared" si="61"/>
        <v>75</v>
      </c>
      <c r="AD239" s="156">
        <f t="shared" si="62"/>
        <v>5850</v>
      </c>
      <c r="AG239" s="149">
        <v>291</v>
      </c>
      <c r="AH239" s="149">
        <v>15009.2</v>
      </c>
      <c r="AI239" s="150" t="s">
        <v>1352</v>
      </c>
      <c r="AJ239" s="206">
        <f t="shared" si="53"/>
        <v>349.20000000000005</v>
      </c>
      <c r="AL239" s="149">
        <f t="shared" si="51"/>
        <v>0</v>
      </c>
    </row>
    <row r="240" spans="1:38" ht="15">
      <c r="A240" s="140">
        <v>10949</v>
      </c>
      <c r="B240" s="140">
        <v>224</v>
      </c>
      <c r="C240" s="146" t="s">
        <v>922</v>
      </c>
      <c r="D240" s="147" t="s">
        <v>921</v>
      </c>
      <c r="E240" s="191" t="s">
        <v>136</v>
      </c>
      <c r="F240" s="153">
        <v>1</v>
      </c>
      <c r="G240" s="154" t="s">
        <v>1245</v>
      </c>
      <c r="H240" s="140">
        <v>100</v>
      </c>
      <c r="I240" s="140" t="s">
        <v>376</v>
      </c>
      <c r="J240" s="140">
        <v>17</v>
      </c>
      <c r="K240" s="142">
        <v>13</v>
      </c>
      <c r="L240" s="142">
        <v>10.8</v>
      </c>
      <c r="M240" s="143">
        <v>15</v>
      </c>
      <c r="N240" s="144">
        <v>5</v>
      </c>
      <c r="O240" s="143">
        <f t="shared" si="52"/>
        <v>10</v>
      </c>
      <c r="P240" s="140">
        <v>130</v>
      </c>
      <c r="Q240" s="159">
        <f t="shared" si="54"/>
        <v>1300</v>
      </c>
      <c r="R240" s="140">
        <v>0</v>
      </c>
      <c r="S240" s="151">
        <f t="shared" si="56"/>
        <v>0</v>
      </c>
      <c r="T240" s="142">
        <v>0</v>
      </c>
      <c r="U240" s="151">
        <f t="shared" si="57"/>
        <v>0</v>
      </c>
      <c r="V240" s="140">
        <v>10</v>
      </c>
      <c r="W240" s="151">
        <f t="shared" si="58"/>
        <v>1300</v>
      </c>
      <c r="X240" s="142">
        <v>0</v>
      </c>
      <c r="Y240" s="151">
        <f t="shared" si="59"/>
        <v>0</v>
      </c>
      <c r="Z240" s="146"/>
      <c r="AA240" s="155">
        <f t="shared" si="60"/>
        <v>10</v>
      </c>
      <c r="AB240" s="155">
        <f t="shared" si="55"/>
        <v>0</v>
      </c>
      <c r="AC240" s="149">
        <f t="shared" si="61"/>
        <v>2.5</v>
      </c>
      <c r="AD240" s="156">
        <f t="shared" si="62"/>
        <v>325</v>
      </c>
      <c r="AG240" s="149">
        <v>9</v>
      </c>
      <c r="AH240" s="149">
        <v>1170</v>
      </c>
      <c r="AI240" s="150" t="s">
        <v>1352</v>
      </c>
      <c r="AJ240" s="206">
        <f t="shared" si="53"/>
        <v>10.8</v>
      </c>
      <c r="AL240" s="149">
        <f t="shared" si="51"/>
        <v>0</v>
      </c>
    </row>
    <row r="241" spans="1:36" ht="15">
      <c r="A241" s="140">
        <v>10949</v>
      </c>
      <c r="B241" s="140">
        <v>225</v>
      </c>
      <c r="C241" s="146"/>
      <c r="D241" s="147"/>
      <c r="E241" s="191" t="s">
        <v>1505</v>
      </c>
      <c r="F241" s="153">
        <v>1</v>
      </c>
      <c r="G241" s="154" t="s">
        <v>1248</v>
      </c>
      <c r="H241" s="140">
        <v>1</v>
      </c>
      <c r="I241" s="140" t="s">
        <v>377</v>
      </c>
      <c r="J241" s="140">
        <v>0</v>
      </c>
      <c r="K241" s="142">
        <v>84</v>
      </c>
      <c r="L241" s="142">
        <v>183.60000000000002</v>
      </c>
      <c r="M241" s="143">
        <v>200</v>
      </c>
      <c r="N241" s="144">
        <v>100</v>
      </c>
      <c r="O241" s="143">
        <f t="shared" si="52"/>
        <v>100</v>
      </c>
      <c r="P241" s="140">
        <v>40.66</v>
      </c>
      <c r="Q241" s="159">
        <f t="shared" si="54"/>
        <v>4065.9999999999995</v>
      </c>
      <c r="R241" s="140">
        <v>0</v>
      </c>
      <c r="S241" s="151">
        <f t="shared" si="56"/>
        <v>0</v>
      </c>
      <c r="T241" s="142">
        <v>0</v>
      </c>
      <c r="U241" s="151">
        <f t="shared" si="57"/>
        <v>0</v>
      </c>
      <c r="V241" s="140">
        <v>100</v>
      </c>
      <c r="W241" s="151">
        <f t="shared" si="58"/>
        <v>4065.9999999999995</v>
      </c>
      <c r="X241" s="142">
        <v>0</v>
      </c>
      <c r="Y241" s="151">
        <f t="shared" si="59"/>
        <v>0</v>
      </c>
      <c r="Z241" s="146"/>
      <c r="AA241" s="155">
        <f>R241+T241+V241+X241</f>
        <v>100</v>
      </c>
      <c r="AB241" s="155">
        <f>O241-AA241</f>
        <v>0</v>
      </c>
      <c r="AC241" s="149">
        <f>O241/4</f>
        <v>25</v>
      </c>
      <c r="AD241" s="156"/>
      <c r="AG241" s="149">
        <v>153</v>
      </c>
      <c r="AH241" s="149">
        <v>6220.979999999998</v>
      </c>
      <c r="AJ241" s="206">
        <f t="shared" si="53"/>
        <v>183.60000000000002</v>
      </c>
    </row>
    <row r="242" spans="1:38" ht="15">
      <c r="A242" s="140">
        <v>10949</v>
      </c>
      <c r="B242" s="140">
        <v>226</v>
      </c>
      <c r="C242" s="146" t="s">
        <v>924</v>
      </c>
      <c r="D242" s="147" t="s">
        <v>923</v>
      </c>
      <c r="E242" s="191" t="s">
        <v>137</v>
      </c>
      <c r="F242" s="153">
        <v>1</v>
      </c>
      <c r="G242" s="154" t="s">
        <v>1245</v>
      </c>
      <c r="H242" s="140">
        <v>100</v>
      </c>
      <c r="I242" s="140" t="s">
        <v>376</v>
      </c>
      <c r="J242" s="140">
        <v>17</v>
      </c>
      <c r="K242" s="142">
        <v>10</v>
      </c>
      <c r="L242" s="142">
        <v>4.800000000000001</v>
      </c>
      <c r="M242" s="143">
        <v>10</v>
      </c>
      <c r="N242" s="144">
        <v>5</v>
      </c>
      <c r="O242" s="143">
        <f t="shared" si="52"/>
        <v>5</v>
      </c>
      <c r="P242" s="140">
        <v>260</v>
      </c>
      <c r="Q242" s="159">
        <f t="shared" si="54"/>
        <v>1300</v>
      </c>
      <c r="R242" s="140">
        <v>0</v>
      </c>
      <c r="S242" s="151">
        <f t="shared" si="56"/>
        <v>0</v>
      </c>
      <c r="T242" s="142">
        <v>0</v>
      </c>
      <c r="U242" s="151">
        <f t="shared" si="57"/>
        <v>0</v>
      </c>
      <c r="V242" s="140">
        <v>5</v>
      </c>
      <c r="W242" s="151">
        <f t="shared" si="58"/>
        <v>1300</v>
      </c>
      <c r="X242" s="142">
        <v>0</v>
      </c>
      <c r="Y242" s="151">
        <f t="shared" si="59"/>
        <v>0</v>
      </c>
      <c r="Z242" s="146"/>
      <c r="AA242" s="155">
        <f t="shared" si="60"/>
        <v>5</v>
      </c>
      <c r="AB242" s="155">
        <f t="shared" si="55"/>
        <v>0</v>
      </c>
      <c r="AC242" s="149">
        <f t="shared" si="61"/>
        <v>1.25</v>
      </c>
      <c r="AD242" s="156">
        <f t="shared" si="62"/>
        <v>325</v>
      </c>
      <c r="AG242" s="149">
        <v>4</v>
      </c>
      <c r="AH242" s="149">
        <v>1040</v>
      </c>
      <c r="AI242" s="150" t="s">
        <v>1352</v>
      </c>
      <c r="AJ242" s="206">
        <f t="shared" si="53"/>
        <v>4.800000000000001</v>
      </c>
      <c r="AL242" s="149">
        <f t="shared" si="51"/>
        <v>0</v>
      </c>
    </row>
    <row r="243" spans="1:38" ht="15">
      <c r="A243" s="140">
        <v>10949</v>
      </c>
      <c r="B243" s="140">
        <v>227</v>
      </c>
      <c r="C243" s="146" t="s">
        <v>926</v>
      </c>
      <c r="D243" s="147" t="s">
        <v>925</v>
      </c>
      <c r="E243" s="191" t="s">
        <v>138</v>
      </c>
      <c r="F243" s="153">
        <v>1</v>
      </c>
      <c r="G243" s="154" t="s">
        <v>1245</v>
      </c>
      <c r="H243" s="140">
        <v>500</v>
      </c>
      <c r="I243" s="140" t="s">
        <v>376</v>
      </c>
      <c r="J243" s="140">
        <v>3</v>
      </c>
      <c r="K243" s="170">
        <v>0.5</v>
      </c>
      <c r="L243" s="142">
        <v>0.6000000000000001</v>
      </c>
      <c r="M243" s="143">
        <v>1</v>
      </c>
      <c r="N243" s="171">
        <v>1</v>
      </c>
      <c r="O243" s="143">
        <v>0</v>
      </c>
      <c r="P243" s="160">
        <v>300</v>
      </c>
      <c r="Q243" s="159">
        <f t="shared" si="54"/>
        <v>0</v>
      </c>
      <c r="R243" s="140">
        <v>0</v>
      </c>
      <c r="S243" s="151">
        <f t="shared" si="56"/>
        <v>0</v>
      </c>
      <c r="T243" s="142">
        <v>0</v>
      </c>
      <c r="U243" s="151">
        <f t="shared" si="57"/>
        <v>0</v>
      </c>
      <c r="V243" s="140">
        <v>0</v>
      </c>
      <c r="W243" s="151">
        <f t="shared" si="58"/>
        <v>0</v>
      </c>
      <c r="X243" s="142">
        <v>0</v>
      </c>
      <c r="Y243" s="151">
        <f t="shared" si="59"/>
        <v>0</v>
      </c>
      <c r="Z243" s="146"/>
      <c r="AA243" s="155">
        <f t="shared" si="60"/>
        <v>0</v>
      </c>
      <c r="AB243" s="155">
        <f t="shared" si="55"/>
        <v>0</v>
      </c>
      <c r="AC243" s="149">
        <f t="shared" si="61"/>
        <v>0</v>
      </c>
      <c r="AD243" s="156">
        <f t="shared" si="62"/>
        <v>0</v>
      </c>
      <c r="AG243" s="149">
        <v>0.5</v>
      </c>
      <c r="AH243" s="149">
        <v>150</v>
      </c>
      <c r="AI243" s="150" t="s">
        <v>1352</v>
      </c>
      <c r="AJ243" s="206">
        <f t="shared" si="53"/>
        <v>0.6000000000000001</v>
      </c>
      <c r="AL243" s="149">
        <f t="shared" si="51"/>
        <v>0</v>
      </c>
    </row>
    <row r="244" spans="1:38" ht="15">
      <c r="A244" s="140">
        <v>10949</v>
      </c>
      <c r="B244" s="140">
        <v>228</v>
      </c>
      <c r="C244" s="146" t="s">
        <v>1190</v>
      </c>
      <c r="D244" s="147" t="s">
        <v>914</v>
      </c>
      <c r="E244" s="191" t="s">
        <v>139</v>
      </c>
      <c r="F244" s="153">
        <v>1</v>
      </c>
      <c r="G244" s="154" t="s">
        <v>1245</v>
      </c>
      <c r="H244" s="140">
        <v>100</v>
      </c>
      <c r="I244" s="140" t="s">
        <v>376</v>
      </c>
      <c r="J244" s="140">
        <v>123</v>
      </c>
      <c r="K244" s="142">
        <v>65</v>
      </c>
      <c r="L244" s="142">
        <v>74.4</v>
      </c>
      <c r="M244" s="143">
        <v>80</v>
      </c>
      <c r="N244" s="144">
        <v>20</v>
      </c>
      <c r="O244" s="143">
        <f t="shared" si="52"/>
        <v>60</v>
      </c>
      <c r="P244" s="160">
        <v>70</v>
      </c>
      <c r="Q244" s="159">
        <f t="shared" si="54"/>
        <v>4200</v>
      </c>
      <c r="R244" s="140">
        <v>0</v>
      </c>
      <c r="S244" s="151">
        <f t="shared" si="56"/>
        <v>0</v>
      </c>
      <c r="T244" s="142">
        <v>20</v>
      </c>
      <c r="U244" s="151">
        <f t="shared" si="57"/>
        <v>1400</v>
      </c>
      <c r="V244" s="140">
        <v>20</v>
      </c>
      <c r="W244" s="151">
        <f t="shared" si="58"/>
        <v>1400</v>
      </c>
      <c r="X244" s="142">
        <v>20</v>
      </c>
      <c r="Y244" s="151">
        <f t="shared" si="59"/>
        <v>1400</v>
      </c>
      <c r="Z244" s="146"/>
      <c r="AA244" s="155">
        <f t="shared" si="60"/>
        <v>60</v>
      </c>
      <c r="AB244" s="155">
        <f t="shared" si="55"/>
        <v>0</v>
      </c>
      <c r="AC244" s="149">
        <f t="shared" si="61"/>
        <v>15</v>
      </c>
      <c r="AD244" s="156">
        <f t="shared" si="62"/>
        <v>1050</v>
      </c>
      <c r="AG244" s="149">
        <v>62</v>
      </c>
      <c r="AH244" s="149">
        <v>4229.999999999999</v>
      </c>
      <c r="AI244" s="150" t="s">
        <v>1356</v>
      </c>
      <c r="AJ244" s="206">
        <f t="shared" si="53"/>
        <v>74.4</v>
      </c>
      <c r="AL244" s="149">
        <f t="shared" si="51"/>
        <v>0</v>
      </c>
    </row>
    <row r="245" spans="1:38" ht="15">
      <c r="A245" s="140">
        <v>10949</v>
      </c>
      <c r="B245" s="140">
        <v>229</v>
      </c>
      <c r="C245" s="146" t="s">
        <v>928</v>
      </c>
      <c r="D245" s="147" t="s">
        <v>927</v>
      </c>
      <c r="E245" s="152" t="s">
        <v>562</v>
      </c>
      <c r="F245" s="153">
        <v>1</v>
      </c>
      <c r="G245" s="146" t="s">
        <v>1245</v>
      </c>
      <c r="H245" s="221">
        <v>1000</v>
      </c>
      <c r="I245" s="221" t="s">
        <v>376</v>
      </c>
      <c r="J245" s="140">
        <v>3</v>
      </c>
      <c r="K245" s="142">
        <v>2</v>
      </c>
      <c r="L245" s="142">
        <v>4.800000000000001</v>
      </c>
      <c r="M245" s="143">
        <v>5</v>
      </c>
      <c r="N245" s="144">
        <v>1</v>
      </c>
      <c r="O245" s="143">
        <f t="shared" si="52"/>
        <v>4</v>
      </c>
      <c r="P245" s="140">
        <v>585</v>
      </c>
      <c r="Q245" s="159">
        <f t="shared" si="54"/>
        <v>2340</v>
      </c>
      <c r="R245" s="140">
        <v>0</v>
      </c>
      <c r="S245" s="151">
        <f t="shared" si="56"/>
        <v>0</v>
      </c>
      <c r="T245" s="142">
        <v>2</v>
      </c>
      <c r="U245" s="151">
        <f t="shared" si="57"/>
        <v>1170</v>
      </c>
      <c r="V245" s="140">
        <v>0</v>
      </c>
      <c r="W245" s="151">
        <f t="shared" si="58"/>
        <v>0</v>
      </c>
      <c r="X245" s="142">
        <v>2</v>
      </c>
      <c r="Y245" s="151">
        <f t="shared" si="59"/>
        <v>1170</v>
      </c>
      <c r="Z245" s="146"/>
      <c r="AA245" s="155">
        <f t="shared" si="60"/>
        <v>4</v>
      </c>
      <c r="AB245" s="155">
        <f t="shared" si="55"/>
        <v>0</v>
      </c>
      <c r="AC245" s="149">
        <f t="shared" si="61"/>
        <v>1</v>
      </c>
      <c r="AD245" s="156">
        <f t="shared" si="62"/>
        <v>585</v>
      </c>
      <c r="AG245" s="149">
        <v>4</v>
      </c>
      <c r="AH245" s="149">
        <v>2340</v>
      </c>
      <c r="AI245" s="150" t="s">
        <v>1352</v>
      </c>
      <c r="AJ245" s="206">
        <f t="shared" si="53"/>
        <v>4.800000000000001</v>
      </c>
      <c r="AL245" s="149">
        <f t="shared" si="51"/>
        <v>0</v>
      </c>
    </row>
    <row r="246" spans="1:38" ht="15">
      <c r="A246" s="140">
        <v>10949</v>
      </c>
      <c r="B246" s="140">
        <v>230</v>
      </c>
      <c r="C246" s="146" t="s">
        <v>930</v>
      </c>
      <c r="D246" s="147" t="s">
        <v>929</v>
      </c>
      <c r="E246" s="152" t="s">
        <v>531</v>
      </c>
      <c r="F246" s="153">
        <v>1</v>
      </c>
      <c r="G246" s="146" t="s">
        <v>1245</v>
      </c>
      <c r="H246" s="153">
        <v>1000</v>
      </c>
      <c r="I246" s="153" t="s">
        <v>376</v>
      </c>
      <c r="J246" s="140">
        <v>2.5</v>
      </c>
      <c r="K246" s="142">
        <v>4</v>
      </c>
      <c r="L246" s="142">
        <v>2.4000000000000004</v>
      </c>
      <c r="M246" s="143">
        <v>3</v>
      </c>
      <c r="N246" s="144">
        <v>1</v>
      </c>
      <c r="O246" s="143">
        <f t="shared" si="52"/>
        <v>2</v>
      </c>
      <c r="P246" s="140">
        <v>1000</v>
      </c>
      <c r="Q246" s="159">
        <f t="shared" si="54"/>
        <v>2000</v>
      </c>
      <c r="R246" s="140">
        <v>0</v>
      </c>
      <c r="S246" s="151">
        <f t="shared" si="56"/>
        <v>0</v>
      </c>
      <c r="T246" s="142">
        <v>0</v>
      </c>
      <c r="U246" s="151">
        <f t="shared" si="57"/>
        <v>0</v>
      </c>
      <c r="V246" s="140">
        <v>2</v>
      </c>
      <c r="W246" s="151">
        <f t="shared" si="58"/>
        <v>2000</v>
      </c>
      <c r="X246" s="142">
        <v>0</v>
      </c>
      <c r="Y246" s="151">
        <f t="shared" si="59"/>
        <v>0</v>
      </c>
      <c r="Z246" s="146"/>
      <c r="AA246" s="155">
        <f t="shared" si="60"/>
        <v>2</v>
      </c>
      <c r="AB246" s="155">
        <f t="shared" si="55"/>
        <v>0</v>
      </c>
      <c r="AC246" s="149">
        <f t="shared" si="61"/>
        <v>0.5</v>
      </c>
      <c r="AD246" s="156">
        <f t="shared" si="62"/>
        <v>500</v>
      </c>
      <c r="AG246" s="149">
        <v>2</v>
      </c>
      <c r="AH246" s="149">
        <v>2000</v>
      </c>
      <c r="AI246" s="150" t="s">
        <v>1352</v>
      </c>
      <c r="AJ246" s="206">
        <f t="shared" si="53"/>
        <v>2.4000000000000004</v>
      </c>
      <c r="AL246" s="149">
        <f t="shared" si="51"/>
        <v>0</v>
      </c>
    </row>
    <row r="247" spans="1:38" ht="15">
      <c r="A247" s="140">
        <v>10949</v>
      </c>
      <c r="B247" s="140">
        <v>231</v>
      </c>
      <c r="C247" s="146"/>
      <c r="D247" s="147"/>
      <c r="E247" s="191" t="s">
        <v>219</v>
      </c>
      <c r="F247" s="153">
        <v>1</v>
      </c>
      <c r="G247" s="154" t="s">
        <v>1245</v>
      </c>
      <c r="H247" s="153">
        <v>100</v>
      </c>
      <c r="I247" s="153" t="s">
        <v>376</v>
      </c>
      <c r="J247" s="140">
        <v>2</v>
      </c>
      <c r="K247" s="142">
        <v>1</v>
      </c>
      <c r="L247" s="142">
        <v>0</v>
      </c>
      <c r="M247" s="143">
        <v>0</v>
      </c>
      <c r="N247" s="144">
        <v>0</v>
      </c>
      <c r="O247" s="143">
        <v>0</v>
      </c>
      <c r="P247" s="140">
        <v>158</v>
      </c>
      <c r="Q247" s="159">
        <f t="shared" si="54"/>
        <v>0</v>
      </c>
      <c r="R247" s="140">
        <v>0</v>
      </c>
      <c r="S247" s="151">
        <f t="shared" si="56"/>
        <v>0</v>
      </c>
      <c r="T247" s="140">
        <v>0</v>
      </c>
      <c r="U247" s="151">
        <f t="shared" si="57"/>
        <v>0</v>
      </c>
      <c r="V247" s="140">
        <v>0</v>
      </c>
      <c r="W247" s="151">
        <f t="shared" si="58"/>
        <v>0</v>
      </c>
      <c r="X247" s="140">
        <v>0</v>
      </c>
      <c r="Y247" s="151">
        <f t="shared" si="59"/>
        <v>0</v>
      </c>
      <c r="Z247" s="146"/>
      <c r="AA247" s="155">
        <f t="shared" si="60"/>
        <v>0</v>
      </c>
      <c r="AB247" s="155">
        <f t="shared" si="55"/>
        <v>0</v>
      </c>
      <c r="AC247" s="149">
        <f t="shared" si="61"/>
        <v>0</v>
      </c>
      <c r="AD247" s="156">
        <f t="shared" si="62"/>
        <v>0</v>
      </c>
      <c r="AJ247" s="206">
        <f t="shared" si="53"/>
        <v>0</v>
      </c>
      <c r="AL247" s="149">
        <f t="shared" si="51"/>
        <v>0</v>
      </c>
    </row>
    <row r="248" spans="1:38" ht="15">
      <c r="A248" s="140">
        <v>10949</v>
      </c>
      <c r="B248" s="140">
        <v>232</v>
      </c>
      <c r="C248" s="146"/>
      <c r="D248" s="147"/>
      <c r="E248" s="191" t="s">
        <v>140</v>
      </c>
      <c r="F248" s="153">
        <v>1</v>
      </c>
      <c r="G248" s="154" t="s">
        <v>1245</v>
      </c>
      <c r="H248" s="140">
        <v>100</v>
      </c>
      <c r="I248" s="140" t="s">
        <v>376</v>
      </c>
      <c r="J248" s="140">
        <v>36</v>
      </c>
      <c r="K248" s="142">
        <v>12</v>
      </c>
      <c r="L248" s="142">
        <v>0</v>
      </c>
      <c r="M248" s="143">
        <v>0</v>
      </c>
      <c r="N248" s="144">
        <v>8</v>
      </c>
      <c r="O248" s="143">
        <v>0</v>
      </c>
      <c r="P248" s="160">
        <v>80.25</v>
      </c>
      <c r="Q248" s="159">
        <f t="shared" si="54"/>
        <v>0</v>
      </c>
      <c r="R248" s="140">
        <v>0</v>
      </c>
      <c r="S248" s="151">
        <f t="shared" si="56"/>
        <v>0</v>
      </c>
      <c r="T248" s="142">
        <v>0</v>
      </c>
      <c r="U248" s="151">
        <f t="shared" si="57"/>
        <v>0</v>
      </c>
      <c r="V248" s="140">
        <v>0</v>
      </c>
      <c r="W248" s="151">
        <f t="shared" si="58"/>
        <v>0</v>
      </c>
      <c r="X248" s="142">
        <v>0</v>
      </c>
      <c r="Y248" s="151">
        <f t="shared" si="59"/>
        <v>0</v>
      </c>
      <c r="Z248" s="146"/>
      <c r="AA248" s="155">
        <f t="shared" si="60"/>
        <v>0</v>
      </c>
      <c r="AB248" s="155">
        <f t="shared" si="55"/>
        <v>0</v>
      </c>
      <c r="AC248" s="149">
        <f t="shared" si="61"/>
        <v>0</v>
      </c>
      <c r="AD248" s="156">
        <f t="shared" si="62"/>
        <v>0</v>
      </c>
      <c r="AI248" s="150" t="s">
        <v>1352</v>
      </c>
      <c r="AJ248" s="206">
        <f t="shared" si="53"/>
        <v>0</v>
      </c>
      <c r="AL248" s="149">
        <f t="shared" si="51"/>
        <v>0</v>
      </c>
    </row>
    <row r="249" spans="1:38" ht="15">
      <c r="A249" s="140">
        <v>10949</v>
      </c>
      <c r="B249" s="140">
        <v>233</v>
      </c>
      <c r="C249" s="146" t="s">
        <v>932</v>
      </c>
      <c r="D249" s="147" t="s">
        <v>931</v>
      </c>
      <c r="E249" s="191" t="s">
        <v>220</v>
      </c>
      <c r="F249" s="153">
        <v>1</v>
      </c>
      <c r="G249" s="154" t="s">
        <v>1257</v>
      </c>
      <c r="H249" s="153">
        <v>450</v>
      </c>
      <c r="I249" s="153" t="s">
        <v>1250</v>
      </c>
      <c r="J249" s="140">
        <v>15</v>
      </c>
      <c r="K249" s="142">
        <v>7</v>
      </c>
      <c r="L249" s="142">
        <v>8.399999999999999</v>
      </c>
      <c r="M249" s="143">
        <v>12</v>
      </c>
      <c r="N249" s="144">
        <v>6</v>
      </c>
      <c r="O249" s="143">
        <v>6</v>
      </c>
      <c r="P249" s="160">
        <v>68.48</v>
      </c>
      <c r="Q249" s="159">
        <f t="shared" si="54"/>
        <v>410.88</v>
      </c>
      <c r="R249" s="140">
        <v>0</v>
      </c>
      <c r="S249" s="151">
        <f t="shared" si="56"/>
        <v>0</v>
      </c>
      <c r="T249" s="142">
        <v>0</v>
      </c>
      <c r="U249" s="151">
        <f t="shared" si="57"/>
        <v>0</v>
      </c>
      <c r="V249" s="140">
        <v>6</v>
      </c>
      <c r="W249" s="151">
        <f t="shared" si="58"/>
        <v>410.88</v>
      </c>
      <c r="X249" s="142">
        <v>0</v>
      </c>
      <c r="Y249" s="151">
        <f t="shared" si="59"/>
        <v>0</v>
      </c>
      <c r="Z249" s="146"/>
      <c r="AA249" s="155">
        <f t="shared" si="60"/>
        <v>6</v>
      </c>
      <c r="AB249" s="155">
        <f t="shared" si="55"/>
        <v>0</v>
      </c>
      <c r="AC249" s="149">
        <f t="shared" si="61"/>
        <v>1.5</v>
      </c>
      <c r="AD249" s="156">
        <f t="shared" si="62"/>
        <v>102.72</v>
      </c>
      <c r="AG249" s="149">
        <v>7</v>
      </c>
      <c r="AH249" s="149">
        <v>479.36</v>
      </c>
      <c r="AI249" s="150" t="s">
        <v>1352</v>
      </c>
      <c r="AJ249" s="206">
        <f t="shared" si="53"/>
        <v>8.399999999999999</v>
      </c>
      <c r="AL249" s="149">
        <f t="shared" si="51"/>
        <v>0</v>
      </c>
    </row>
    <row r="250" spans="1:38" ht="15">
      <c r="A250" s="140">
        <v>10949</v>
      </c>
      <c r="B250" s="140">
        <v>234</v>
      </c>
      <c r="C250" s="212">
        <v>659443</v>
      </c>
      <c r="D250" s="147" t="s">
        <v>933</v>
      </c>
      <c r="E250" s="152" t="s">
        <v>423</v>
      </c>
      <c r="F250" s="153">
        <v>1</v>
      </c>
      <c r="G250" s="146" t="s">
        <v>1252</v>
      </c>
      <c r="H250" s="140">
        <v>100</v>
      </c>
      <c r="I250" s="140" t="s">
        <v>1253</v>
      </c>
      <c r="J250" s="140">
        <v>2693</v>
      </c>
      <c r="K250" s="172">
        <v>2753</v>
      </c>
      <c r="L250" s="142">
        <v>2846.3999999999996</v>
      </c>
      <c r="M250" s="143">
        <v>3000</v>
      </c>
      <c r="N250" s="144">
        <v>200</v>
      </c>
      <c r="O250" s="143">
        <f t="shared" si="52"/>
        <v>2800</v>
      </c>
      <c r="P250" s="140">
        <v>55</v>
      </c>
      <c r="Q250" s="159">
        <f t="shared" si="54"/>
        <v>154000</v>
      </c>
      <c r="R250" s="140">
        <v>700</v>
      </c>
      <c r="S250" s="151">
        <f t="shared" si="56"/>
        <v>38500</v>
      </c>
      <c r="T250" s="142">
        <v>700</v>
      </c>
      <c r="U250" s="151">
        <f t="shared" si="57"/>
        <v>38500</v>
      </c>
      <c r="V250" s="140">
        <v>700</v>
      </c>
      <c r="W250" s="151">
        <f t="shared" si="58"/>
        <v>38500</v>
      </c>
      <c r="X250" s="142">
        <v>700</v>
      </c>
      <c r="Y250" s="151">
        <f t="shared" si="59"/>
        <v>38500</v>
      </c>
      <c r="Z250" s="146"/>
      <c r="AA250" s="155">
        <f t="shared" si="60"/>
        <v>2800</v>
      </c>
      <c r="AB250" s="155">
        <f t="shared" si="55"/>
        <v>0</v>
      </c>
      <c r="AC250" s="149">
        <f t="shared" si="61"/>
        <v>700</v>
      </c>
      <c r="AD250" s="156">
        <f t="shared" si="62"/>
        <v>38500</v>
      </c>
      <c r="AG250" s="149">
        <v>2372</v>
      </c>
      <c r="AH250" s="149">
        <v>130727</v>
      </c>
      <c r="AI250" s="150" t="s">
        <v>1355</v>
      </c>
      <c r="AJ250" s="206">
        <f t="shared" si="53"/>
        <v>2846.3999999999996</v>
      </c>
      <c r="AL250" s="149">
        <f t="shared" si="51"/>
        <v>0</v>
      </c>
    </row>
    <row r="251" spans="1:38" ht="15">
      <c r="A251" s="140">
        <v>10949</v>
      </c>
      <c r="B251" s="140">
        <v>235</v>
      </c>
      <c r="C251" s="146" t="s">
        <v>935</v>
      </c>
      <c r="D251" s="147" t="s">
        <v>934</v>
      </c>
      <c r="E251" s="152" t="s">
        <v>532</v>
      </c>
      <c r="F251" s="153">
        <v>1</v>
      </c>
      <c r="G251" s="146" t="s">
        <v>1248</v>
      </c>
      <c r="H251" s="153">
        <v>1</v>
      </c>
      <c r="I251" s="153" t="s">
        <v>486</v>
      </c>
      <c r="J251" s="140">
        <v>1590</v>
      </c>
      <c r="K251" s="146">
        <v>2879</v>
      </c>
      <c r="L251" s="142">
        <v>3356.3999999999996</v>
      </c>
      <c r="M251" s="143">
        <v>3500</v>
      </c>
      <c r="N251" s="144">
        <v>300</v>
      </c>
      <c r="O251" s="143">
        <f t="shared" si="52"/>
        <v>3200</v>
      </c>
      <c r="P251" s="140">
        <v>13</v>
      </c>
      <c r="Q251" s="159">
        <f t="shared" si="54"/>
        <v>41600</v>
      </c>
      <c r="R251" s="140">
        <v>800</v>
      </c>
      <c r="S251" s="151">
        <f t="shared" si="56"/>
        <v>10400</v>
      </c>
      <c r="T251" s="142">
        <v>800</v>
      </c>
      <c r="U251" s="151">
        <f t="shared" si="57"/>
        <v>10400</v>
      </c>
      <c r="V251" s="140">
        <v>800</v>
      </c>
      <c r="W251" s="151">
        <f t="shared" si="58"/>
        <v>10400</v>
      </c>
      <c r="X251" s="142">
        <v>800</v>
      </c>
      <c r="Y251" s="151">
        <f t="shared" si="59"/>
        <v>10400</v>
      </c>
      <c r="Z251" s="146"/>
      <c r="AA251" s="155">
        <f t="shared" si="60"/>
        <v>3200</v>
      </c>
      <c r="AB251" s="155">
        <f t="shared" si="55"/>
        <v>0</v>
      </c>
      <c r="AC251" s="149">
        <f t="shared" si="61"/>
        <v>800</v>
      </c>
      <c r="AD251" s="156">
        <f t="shared" si="62"/>
        <v>10400</v>
      </c>
      <c r="AG251" s="149">
        <v>2797</v>
      </c>
      <c r="AH251" s="149">
        <v>34123.399999999994</v>
      </c>
      <c r="AI251" s="150" t="s">
        <v>1356</v>
      </c>
      <c r="AJ251" s="206">
        <f t="shared" si="53"/>
        <v>3356.3999999999996</v>
      </c>
      <c r="AL251" s="149">
        <f t="shared" si="51"/>
        <v>0</v>
      </c>
    </row>
    <row r="252" spans="1:36" ht="15">
      <c r="A252" s="140">
        <v>10949</v>
      </c>
      <c r="B252" s="140">
        <v>236</v>
      </c>
      <c r="C252" s="146" t="s">
        <v>937</v>
      </c>
      <c r="D252" s="147" t="s">
        <v>936</v>
      </c>
      <c r="E252" s="152" t="s">
        <v>1359</v>
      </c>
      <c r="F252" s="140">
        <v>1</v>
      </c>
      <c r="G252" s="146" t="s">
        <v>1257</v>
      </c>
      <c r="H252" s="140">
        <v>1</v>
      </c>
      <c r="I252" s="140" t="s">
        <v>1360</v>
      </c>
      <c r="J252" s="140">
        <v>30</v>
      </c>
      <c r="K252" s="142">
        <v>15</v>
      </c>
      <c r="L252" s="142">
        <v>12</v>
      </c>
      <c r="M252" s="143">
        <v>20</v>
      </c>
      <c r="N252" s="140">
        <v>0</v>
      </c>
      <c r="O252" s="143">
        <f t="shared" si="52"/>
        <v>20</v>
      </c>
      <c r="P252" s="140">
        <v>100</v>
      </c>
      <c r="Q252" s="159">
        <f t="shared" si="54"/>
        <v>2000</v>
      </c>
      <c r="R252" s="140">
        <v>5</v>
      </c>
      <c r="S252" s="151">
        <f t="shared" si="56"/>
        <v>500</v>
      </c>
      <c r="T252" s="140">
        <v>5</v>
      </c>
      <c r="U252" s="151">
        <f t="shared" si="57"/>
        <v>500</v>
      </c>
      <c r="V252" s="140">
        <v>5</v>
      </c>
      <c r="W252" s="151">
        <f t="shared" si="58"/>
        <v>500</v>
      </c>
      <c r="X252" s="140">
        <v>5</v>
      </c>
      <c r="Y252" s="151">
        <f t="shared" si="59"/>
        <v>500</v>
      </c>
      <c r="Z252" s="146"/>
      <c r="AA252" s="155">
        <f>R252+T252+V252+X252</f>
        <v>20</v>
      </c>
      <c r="AB252" s="155">
        <f>O252-AA252</f>
        <v>0</v>
      </c>
      <c r="AC252" s="149">
        <f>O252/4</f>
        <v>5</v>
      </c>
      <c r="AD252" s="156">
        <f t="shared" si="62"/>
        <v>500</v>
      </c>
      <c r="AG252" s="149">
        <v>10</v>
      </c>
      <c r="AH252" s="149">
        <v>1000</v>
      </c>
      <c r="AI252" s="150" t="s">
        <v>1354</v>
      </c>
      <c r="AJ252" s="206">
        <f t="shared" si="53"/>
        <v>12</v>
      </c>
    </row>
    <row r="253" spans="1:38" ht="15">
      <c r="A253" s="140">
        <v>10949</v>
      </c>
      <c r="B253" s="140">
        <v>237</v>
      </c>
      <c r="C253" s="146" t="s">
        <v>939</v>
      </c>
      <c r="D253" s="147" t="s">
        <v>938</v>
      </c>
      <c r="E253" s="191" t="s">
        <v>142</v>
      </c>
      <c r="F253" s="153">
        <v>1</v>
      </c>
      <c r="G253" s="154" t="s">
        <v>1245</v>
      </c>
      <c r="H253" s="140">
        <v>28</v>
      </c>
      <c r="I253" s="140" t="s">
        <v>376</v>
      </c>
      <c r="J253" s="140">
        <v>6300</v>
      </c>
      <c r="K253" s="142">
        <v>7350</v>
      </c>
      <c r="L253" s="142">
        <v>6840</v>
      </c>
      <c r="M253" s="143">
        <v>7100</v>
      </c>
      <c r="N253" s="144">
        <v>1000</v>
      </c>
      <c r="O253" s="143">
        <f t="shared" si="52"/>
        <v>6100</v>
      </c>
      <c r="P253" s="140">
        <v>6</v>
      </c>
      <c r="Q253" s="159">
        <f t="shared" si="54"/>
        <v>36600</v>
      </c>
      <c r="R253" s="140">
        <v>1500</v>
      </c>
      <c r="S253" s="151">
        <f t="shared" si="56"/>
        <v>9000</v>
      </c>
      <c r="T253" s="142">
        <v>1600</v>
      </c>
      <c r="U253" s="151">
        <f t="shared" si="57"/>
        <v>9600</v>
      </c>
      <c r="V253" s="140">
        <v>1500</v>
      </c>
      <c r="W253" s="151">
        <f t="shared" si="58"/>
        <v>9000</v>
      </c>
      <c r="X253" s="142">
        <v>1500</v>
      </c>
      <c r="Y253" s="151">
        <f t="shared" si="59"/>
        <v>9000</v>
      </c>
      <c r="Z253" s="146"/>
      <c r="AA253" s="155">
        <f t="shared" si="60"/>
        <v>6100</v>
      </c>
      <c r="AB253" s="155">
        <f t="shared" si="55"/>
        <v>0</v>
      </c>
      <c r="AC253" s="149">
        <f aca="true" t="shared" si="63" ref="AC253:AC280">O253/4</f>
        <v>1525</v>
      </c>
      <c r="AD253" s="156">
        <f t="shared" si="62"/>
        <v>9150</v>
      </c>
      <c r="AG253" s="149">
        <f>114*50</f>
        <v>5700</v>
      </c>
      <c r="AH253" s="149">
        <v>34200</v>
      </c>
      <c r="AI253" s="150" t="s">
        <v>1355</v>
      </c>
      <c r="AJ253" s="206">
        <f t="shared" si="53"/>
        <v>6840</v>
      </c>
      <c r="AL253" s="149">
        <f>AK253</f>
        <v>0</v>
      </c>
    </row>
    <row r="254" spans="1:38" ht="15">
      <c r="A254" s="140">
        <v>10949</v>
      </c>
      <c r="B254" s="140">
        <v>238</v>
      </c>
      <c r="C254" s="212"/>
      <c r="D254" s="147"/>
      <c r="E254" s="191" t="s">
        <v>221</v>
      </c>
      <c r="F254" s="153">
        <v>2</v>
      </c>
      <c r="G254" s="154" t="s">
        <v>1245</v>
      </c>
      <c r="H254" s="140">
        <v>1000</v>
      </c>
      <c r="I254" s="140" t="s">
        <v>376</v>
      </c>
      <c r="J254" s="140">
        <v>202.5</v>
      </c>
      <c r="K254" s="142">
        <v>193</v>
      </c>
      <c r="L254" s="142">
        <v>163.2</v>
      </c>
      <c r="M254" s="143">
        <v>190</v>
      </c>
      <c r="N254" s="144">
        <v>30</v>
      </c>
      <c r="O254" s="143">
        <f t="shared" si="52"/>
        <v>160</v>
      </c>
      <c r="P254" s="160">
        <v>320</v>
      </c>
      <c r="Q254" s="159">
        <f t="shared" si="54"/>
        <v>51200</v>
      </c>
      <c r="R254" s="140">
        <v>40</v>
      </c>
      <c r="S254" s="151">
        <f t="shared" si="56"/>
        <v>12800</v>
      </c>
      <c r="T254" s="142">
        <v>40</v>
      </c>
      <c r="U254" s="151">
        <f t="shared" si="57"/>
        <v>12800</v>
      </c>
      <c r="V254" s="140">
        <v>40</v>
      </c>
      <c r="W254" s="151">
        <f t="shared" si="58"/>
        <v>12800</v>
      </c>
      <c r="X254" s="142">
        <v>40</v>
      </c>
      <c r="Y254" s="151">
        <f t="shared" si="59"/>
        <v>12800</v>
      </c>
      <c r="Z254" s="146"/>
      <c r="AA254" s="155">
        <f t="shared" si="60"/>
        <v>160</v>
      </c>
      <c r="AB254" s="155">
        <f t="shared" si="55"/>
        <v>0</v>
      </c>
      <c r="AC254" s="149">
        <f t="shared" si="63"/>
        <v>40</v>
      </c>
      <c r="AD254" s="156">
        <f t="shared" si="62"/>
        <v>12800</v>
      </c>
      <c r="AG254" s="149">
        <f>100+36</f>
        <v>136</v>
      </c>
      <c r="AH254" s="149">
        <f>32000+11520</f>
        <v>43520</v>
      </c>
      <c r="AI254" s="150" t="s">
        <v>1357</v>
      </c>
      <c r="AJ254" s="206">
        <f t="shared" si="53"/>
        <v>163.2</v>
      </c>
      <c r="AL254" s="149">
        <f aca="true" t="shared" si="64" ref="AL254:AL288">AK254/H254</f>
        <v>0</v>
      </c>
    </row>
    <row r="255" spans="1:38" ht="15">
      <c r="A255" s="140">
        <v>10949</v>
      </c>
      <c r="B255" s="140">
        <v>239</v>
      </c>
      <c r="C255" s="212">
        <v>375430</v>
      </c>
      <c r="D255" s="147" t="s">
        <v>940</v>
      </c>
      <c r="E255" s="191" t="s">
        <v>222</v>
      </c>
      <c r="F255" s="153">
        <v>1</v>
      </c>
      <c r="G255" s="154" t="s">
        <v>1246</v>
      </c>
      <c r="H255" s="140">
        <v>100</v>
      </c>
      <c r="I255" s="140" t="s">
        <v>1235</v>
      </c>
      <c r="J255" s="140">
        <v>363</v>
      </c>
      <c r="K255" s="142">
        <v>223</v>
      </c>
      <c r="L255" s="142">
        <v>123.60000000000001</v>
      </c>
      <c r="M255" s="143">
        <v>250</v>
      </c>
      <c r="N255" s="144">
        <v>100</v>
      </c>
      <c r="O255" s="143">
        <f t="shared" si="52"/>
        <v>150</v>
      </c>
      <c r="P255" s="140">
        <v>85.6</v>
      </c>
      <c r="Q255" s="159">
        <f t="shared" si="54"/>
        <v>12840</v>
      </c>
      <c r="R255" s="140">
        <v>0</v>
      </c>
      <c r="S255" s="151">
        <f t="shared" si="56"/>
        <v>0</v>
      </c>
      <c r="T255" s="142">
        <v>50</v>
      </c>
      <c r="U255" s="151">
        <f t="shared" si="57"/>
        <v>4280</v>
      </c>
      <c r="V255" s="140">
        <v>50</v>
      </c>
      <c r="W255" s="151">
        <f t="shared" si="58"/>
        <v>4280</v>
      </c>
      <c r="X255" s="142">
        <v>50</v>
      </c>
      <c r="Y255" s="151">
        <f t="shared" si="59"/>
        <v>4280</v>
      </c>
      <c r="Z255" s="146"/>
      <c r="AA255" s="155">
        <f t="shared" si="60"/>
        <v>150</v>
      </c>
      <c r="AB255" s="155">
        <f t="shared" si="55"/>
        <v>0</v>
      </c>
      <c r="AC255" s="149">
        <f t="shared" si="63"/>
        <v>37.5</v>
      </c>
      <c r="AD255" s="156">
        <f t="shared" si="62"/>
        <v>3210</v>
      </c>
      <c r="AG255" s="149">
        <f>58+45</f>
        <v>103</v>
      </c>
      <c r="AH255" s="149">
        <f>4654.5+3611.25</f>
        <v>8265.75</v>
      </c>
      <c r="AI255" s="150" t="s">
        <v>1356</v>
      </c>
      <c r="AJ255" s="206">
        <f t="shared" si="53"/>
        <v>123.60000000000001</v>
      </c>
      <c r="AL255" s="149">
        <f t="shared" si="64"/>
        <v>0</v>
      </c>
    </row>
    <row r="256" spans="1:38" ht="15">
      <c r="A256" s="140">
        <v>10949</v>
      </c>
      <c r="B256" s="140">
        <v>240</v>
      </c>
      <c r="C256" s="146" t="s">
        <v>942</v>
      </c>
      <c r="D256" s="147" t="s">
        <v>941</v>
      </c>
      <c r="E256" s="191" t="s">
        <v>223</v>
      </c>
      <c r="F256" s="153">
        <v>1</v>
      </c>
      <c r="G256" s="154" t="s">
        <v>1246</v>
      </c>
      <c r="H256" s="140">
        <v>50</v>
      </c>
      <c r="I256" s="140" t="s">
        <v>1235</v>
      </c>
      <c r="J256" s="140">
        <v>1313</v>
      </c>
      <c r="K256" s="142">
        <v>808</v>
      </c>
      <c r="L256" s="142">
        <v>628.8</v>
      </c>
      <c r="M256" s="143">
        <v>900</v>
      </c>
      <c r="N256" s="144">
        <v>300</v>
      </c>
      <c r="O256" s="143">
        <f t="shared" si="52"/>
        <v>600</v>
      </c>
      <c r="P256" s="140">
        <v>132.5</v>
      </c>
      <c r="Q256" s="159">
        <f t="shared" si="54"/>
        <v>79500</v>
      </c>
      <c r="R256" s="140">
        <v>0</v>
      </c>
      <c r="S256" s="151">
        <f t="shared" si="56"/>
        <v>0</v>
      </c>
      <c r="T256" s="142">
        <v>200</v>
      </c>
      <c r="U256" s="151">
        <f t="shared" si="57"/>
        <v>26500</v>
      </c>
      <c r="V256" s="140">
        <v>200</v>
      </c>
      <c r="W256" s="151">
        <f t="shared" si="58"/>
        <v>26500</v>
      </c>
      <c r="X256" s="142">
        <v>200</v>
      </c>
      <c r="Y256" s="151">
        <f t="shared" si="59"/>
        <v>26500</v>
      </c>
      <c r="Z256" s="146"/>
      <c r="AA256" s="155">
        <f t="shared" si="60"/>
        <v>600</v>
      </c>
      <c r="AB256" s="155">
        <f t="shared" si="55"/>
        <v>0</v>
      </c>
      <c r="AC256" s="149">
        <f t="shared" si="63"/>
        <v>150</v>
      </c>
      <c r="AD256" s="156">
        <f t="shared" si="62"/>
        <v>19875</v>
      </c>
      <c r="AG256" s="149">
        <f>307+217</f>
        <v>524</v>
      </c>
      <c r="AH256" s="149">
        <f>40677.5+28752.5</f>
        <v>69430</v>
      </c>
      <c r="AI256" s="150" t="s">
        <v>1355</v>
      </c>
      <c r="AJ256" s="206">
        <f t="shared" si="53"/>
        <v>628.8</v>
      </c>
      <c r="AL256" s="149">
        <f t="shared" si="64"/>
        <v>0</v>
      </c>
    </row>
    <row r="257" spans="1:38" ht="15">
      <c r="A257" s="140">
        <v>10949</v>
      </c>
      <c r="B257" s="140">
        <v>241</v>
      </c>
      <c r="C257" s="146" t="s">
        <v>944</v>
      </c>
      <c r="D257" s="147" t="s">
        <v>943</v>
      </c>
      <c r="E257" s="192" t="s">
        <v>507</v>
      </c>
      <c r="F257" s="153">
        <v>1</v>
      </c>
      <c r="G257" s="161" t="s">
        <v>1245</v>
      </c>
      <c r="H257" s="140">
        <v>10</v>
      </c>
      <c r="I257" s="140" t="s">
        <v>376</v>
      </c>
      <c r="J257" s="140">
        <v>558</v>
      </c>
      <c r="K257" s="142">
        <v>180</v>
      </c>
      <c r="L257" s="142">
        <v>100.80000000000001</v>
      </c>
      <c r="M257" s="143">
        <v>290</v>
      </c>
      <c r="N257" s="144">
        <v>90</v>
      </c>
      <c r="O257" s="143">
        <f t="shared" si="52"/>
        <v>200</v>
      </c>
      <c r="P257" s="140">
        <v>120</v>
      </c>
      <c r="Q257" s="159">
        <f t="shared" si="54"/>
        <v>24000</v>
      </c>
      <c r="R257" s="140">
        <v>50</v>
      </c>
      <c r="S257" s="151">
        <f t="shared" si="56"/>
        <v>6000</v>
      </c>
      <c r="T257" s="142">
        <v>50</v>
      </c>
      <c r="U257" s="151">
        <f t="shared" si="57"/>
        <v>6000</v>
      </c>
      <c r="V257" s="140">
        <v>50</v>
      </c>
      <c r="W257" s="151">
        <f t="shared" si="58"/>
        <v>6000</v>
      </c>
      <c r="X257" s="142">
        <v>50</v>
      </c>
      <c r="Y257" s="151">
        <f t="shared" si="59"/>
        <v>6000</v>
      </c>
      <c r="Z257" s="146"/>
      <c r="AA257" s="155">
        <f t="shared" si="60"/>
        <v>200</v>
      </c>
      <c r="AB257" s="155">
        <f t="shared" si="55"/>
        <v>0</v>
      </c>
      <c r="AC257" s="149">
        <f t="shared" si="63"/>
        <v>50</v>
      </c>
      <c r="AD257" s="156">
        <f t="shared" si="62"/>
        <v>6000</v>
      </c>
      <c r="AG257" s="149">
        <v>84</v>
      </c>
      <c r="AH257" s="149">
        <v>10080</v>
      </c>
      <c r="AI257" s="150" t="s">
        <v>1300</v>
      </c>
      <c r="AJ257" s="206">
        <f t="shared" si="53"/>
        <v>100.80000000000001</v>
      </c>
      <c r="AL257" s="149">
        <f t="shared" si="64"/>
        <v>0</v>
      </c>
    </row>
    <row r="258" spans="1:38" ht="15">
      <c r="A258" s="140">
        <v>10949</v>
      </c>
      <c r="B258" s="140">
        <v>242</v>
      </c>
      <c r="C258" s="146" t="s">
        <v>946</v>
      </c>
      <c r="D258" s="147" t="s">
        <v>945</v>
      </c>
      <c r="E258" s="192" t="s">
        <v>508</v>
      </c>
      <c r="F258" s="153">
        <v>1</v>
      </c>
      <c r="G258" s="161" t="s">
        <v>1245</v>
      </c>
      <c r="H258" s="140">
        <v>10</v>
      </c>
      <c r="I258" s="140" t="s">
        <v>376</v>
      </c>
      <c r="J258" s="140">
        <v>238</v>
      </c>
      <c r="K258" s="142">
        <v>96</v>
      </c>
      <c r="L258" s="142">
        <v>14.399999999999999</v>
      </c>
      <c r="M258" s="143">
        <v>100</v>
      </c>
      <c r="N258" s="144">
        <v>109</v>
      </c>
      <c r="O258" s="143">
        <v>0</v>
      </c>
      <c r="P258" s="140">
        <v>150</v>
      </c>
      <c r="Q258" s="159">
        <f t="shared" si="54"/>
        <v>0</v>
      </c>
      <c r="R258" s="140">
        <v>0</v>
      </c>
      <c r="S258" s="151">
        <f t="shared" si="56"/>
        <v>0</v>
      </c>
      <c r="T258" s="142">
        <v>0</v>
      </c>
      <c r="U258" s="151">
        <f t="shared" si="57"/>
        <v>0</v>
      </c>
      <c r="V258" s="140">
        <v>0</v>
      </c>
      <c r="W258" s="151">
        <f t="shared" si="58"/>
        <v>0</v>
      </c>
      <c r="X258" s="142">
        <v>0</v>
      </c>
      <c r="Y258" s="151">
        <f t="shared" si="59"/>
        <v>0</v>
      </c>
      <c r="Z258" s="146"/>
      <c r="AA258" s="155">
        <f t="shared" si="60"/>
        <v>0</v>
      </c>
      <c r="AB258" s="155">
        <f t="shared" si="55"/>
        <v>0</v>
      </c>
      <c r="AC258" s="149">
        <f t="shared" si="63"/>
        <v>0</v>
      </c>
      <c r="AD258" s="156">
        <f t="shared" si="62"/>
        <v>0</v>
      </c>
      <c r="AG258" s="149">
        <v>12</v>
      </c>
      <c r="AH258" s="149">
        <v>1800</v>
      </c>
      <c r="AJ258" s="206">
        <f t="shared" si="53"/>
        <v>14.399999999999999</v>
      </c>
      <c r="AL258" s="149">
        <f t="shared" si="64"/>
        <v>0</v>
      </c>
    </row>
    <row r="259" spans="1:38" ht="15">
      <c r="A259" s="140">
        <v>10949</v>
      </c>
      <c r="B259" s="140">
        <v>243</v>
      </c>
      <c r="C259" s="212">
        <v>372970</v>
      </c>
      <c r="D259" s="147" t="s">
        <v>947</v>
      </c>
      <c r="E259" s="152" t="s">
        <v>509</v>
      </c>
      <c r="F259" s="153">
        <v>1</v>
      </c>
      <c r="G259" s="146" t="s">
        <v>1245</v>
      </c>
      <c r="H259" s="140">
        <v>250</v>
      </c>
      <c r="I259" s="140" t="s">
        <v>376</v>
      </c>
      <c r="J259" s="140">
        <v>48</v>
      </c>
      <c r="K259" s="142">
        <v>29</v>
      </c>
      <c r="L259" s="142">
        <v>16.799999999999997</v>
      </c>
      <c r="M259" s="143">
        <v>35</v>
      </c>
      <c r="N259" s="144">
        <v>5</v>
      </c>
      <c r="O259" s="143">
        <f t="shared" si="52"/>
        <v>30</v>
      </c>
      <c r="P259" s="143">
        <v>6250</v>
      </c>
      <c r="Q259" s="159">
        <f t="shared" si="54"/>
        <v>187500</v>
      </c>
      <c r="R259" s="137">
        <v>7</v>
      </c>
      <c r="S259" s="151">
        <f t="shared" si="56"/>
        <v>43750</v>
      </c>
      <c r="T259" s="142">
        <v>8</v>
      </c>
      <c r="U259" s="151">
        <f t="shared" si="57"/>
        <v>50000</v>
      </c>
      <c r="V259" s="140">
        <v>7</v>
      </c>
      <c r="W259" s="151">
        <f t="shared" si="58"/>
        <v>43750</v>
      </c>
      <c r="X259" s="142">
        <v>8</v>
      </c>
      <c r="Y259" s="151">
        <f t="shared" si="59"/>
        <v>50000</v>
      </c>
      <c r="Z259" s="146"/>
      <c r="AA259" s="155">
        <f t="shared" si="60"/>
        <v>30</v>
      </c>
      <c r="AB259" s="155">
        <f t="shared" si="55"/>
        <v>0</v>
      </c>
      <c r="AC259" s="149">
        <f t="shared" si="63"/>
        <v>7.5</v>
      </c>
      <c r="AD259" s="156">
        <f t="shared" si="62"/>
        <v>46875</v>
      </c>
      <c r="AG259" s="149">
        <v>14</v>
      </c>
      <c r="AH259" s="149">
        <v>87500</v>
      </c>
      <c r="AI259" s="150" t="s">
        <v>1301</v>
      </c>
      <c r="AJ259" s="206">
        <f t="shared" si="53"/>
        <v>16.799999999999997</v>
      </c>
      <c r="AL259" s="149">
        <f t="shared" si="64"/>
        <v>0</v>
      </c>
    </row>
    <row r="260" spans="1:38" ht="15">
      <c r="A260" s="140">
        <v>10949</v>
      </c>
      <c r="B260" s="140">
        <v>244</v>
      </c>
      <c r="C260" s="146" t="s">
        <v>949</v>
      </c>
      <c r="D260" s="147" t="s">
        <v>948</v>
      </c>
      <c r="E260" s="191" t="s">
        <v>143</v>
      </c>
      <c r="F260" s="153">
        <v>1</v>
      </c>
      <c r="G260" s="154" t="s">
        <v>1248</v>
      </c>
      <c r="H260" s="140">
        <v>1</v>
      </c>
      <c r="I260" s="140" t="s">
        <v>389</v>
      </c>
      <c r="J260" s="140">
        <v>720</v>
      </c>
      <c r="K260" s="142">
        <v>840</v>
      </c>
      <c r="L260" s="142">
        <v>540</v>
      </c>
      <c r="M260" s="143">
        <v>600</v>
      </c>
      <c r="N260" s="144">
        <v>300</v>
      </c>
      <c r="O260" s="143">
        <f t="shared" si="52"/>
        <v>300</v>
      </c>
      <c r="P260" s="140">
        <v>12</v>
      </c>
      <c r="Q260" s="159">
        <f t="shared" si="54"/>
        <v>3600</v>
      </c>
      <c r="R260" s="140">
        <v>0</v>
      </c>
      <c r="S260" s="151">
        <f t="shared" si="56"/>
        <v>0</v>
      </c>
      <c r="T260" s="142">
        <v>0</v>
      </c>
      <c r="U260" s="151">
        <f t="shared" si="57"/>
        <v>0</v>
      </c>
      <c r="V260" s="140">
        <v>300</v>
      </c>
      <c r="W260" s="151">
        <f t="shared" si="58"/>
        <v>3600</v>
      </c>
      <c r="X260" s="142">
        <v>0</v>
      </c>
      <c r="Y260" s="151">
        <f t="shared" si="59"/>
        <v>0</v>
      </c>
      <c r="Z260" s="146"/>
      <c r="AA260" s="155">
        <f t="shared" si="60"/>
        <v>300</v>
      </c>
      <c r="AB260" s="155">
        <f t="shared" si="55"/>
        <v>0</v>
      </c>
      <c r="AC260" s="149">
        <f t="shared" si="63"/>
        <v>75</v>
      </c>
      <c r="AD260" s="156">
        <f t="shared" si="62"/>
        <v>900</v>
      </c>
      <c r="AG260" s="149">
        <v>450</v>
      </c>
      <c r="AH260" s="149">
        <v>4950</v>
      </c>
      <c r="AI260" s="150" t="s">
        <v>1302</v>
      </c>
      <c r="AJ260" s="206">
        <f t="shared" si="53"/>
        <v>540</v>
      </c>
      <c r="AL260" s="149">
        <f t="shared" si="64"/>
        <v>0</v>
      </c>
    </row>
    <row r="261" spans="1:38" ht="15">
      <c r="A261" s="140">
        <v>10949</v>
      </c>
      <c r="B261" s="140">
        <v>245</v>
      </c>
      <c r="C261" s="146" t="s">
        <v>950</v>
      </c>
      <c r="D261" s="147" t="s">
        <v>948</v>
      </c>
      <c r="E261" s="191" t="s">
        <v>144</v>
      </c>
      <c r="F261" s="153">
        <v>1</v>
      </c>
      <c r="G261" s="154" t="s">
        <v>1245</v>
      </c>
      <c r="H261" s="140">
        <v>1000</v>
      </c>
      <c r="I261" s="140" t="s">
        <v>376</v>
      </c>
      <c r="J261" s="140">
        <v>82</v>
      </c>
      <c r="K261" s="142">
        <v>50</v>
      </c>
      <c r="L261" s="142">
        <v>32.400000000000006</v>
      </c>
      <c r="M261" s="143">
        <v>50</v>
      </c>
      <c r="N261" s="144">
        <v>30</v>
      </c>
      <c r="O261" s="143">
        <f t="shared" si="52"/>
        <v>20</v>
      </c>
      <c r="P261" s="140">
        <v>142.5</v>
      </c>
      <c r="Q261" s="159">
        <f t="shared" si="54"/>
        <v>2850</v>
      </c>
      <c r="R261" s="140">
        <v>0</v>
      </c>
      <c r="S261" s="151">
        <f t="shared" si="56"/>
        <v>0</v>
      </c>
      <c r="T261" s="142">
        <v>0</v>
      </c>
      <c r="U261" s="151">
        <f t="shared" si="57"/>
        <v>0</v>
      </c>
      <c r="V261" s="140">
        <v>20</v>
      </c>
      <c r="W261" s="151">
        <f t="shared" si="58"/>
        <v>2850</v>
      </c>
      <c r="X261" s="142">
        <v>0</v>
      </c>
      <c r="Y261" s="151">
        <f t="shared" si="59"/>
        <v>0</v>
      </c>
      <c r="Z261" s="146"/>
      <c r="AA261" s="155">
        <f t="shared" si="60"/>
        <v>20</v>
      </c>
      <c r="AB261" s="155">
        <f t="shared" si="55"/>
        <v>0</v>
      </c>
      <c r="AC261" s="149">
        <f t="shared" si="63"/>
        <v>5</v>
      </c>
      <c r="AD261" s="156">
        <f t="shared" si="62"/>
        <v>712.5</v>
      </c>
      <c r="AG261" s="149">
        <v>27</v>
      </c>
      <c r="AH261" s="149">
        <v>3780</v>
      </c>
      <c r="AI261" s="150" t="s">
        <v>1352</v>
      </c>
      <c r="AJ261" s="206">
        <f t="shared" si="53"/>
        <v>32.400000000000006</v>
      </c>
      <c r="AL261" s="149">
        <f t="shared" si="64"/>
        <v>0</v>
      </c>
    </row>
    <row r="262" spans="1:38" ht="15">
      <c r="A262" s="140">
        <v>10949</v>
      </c>
      <c r="B262" s="140">
        <v>246</v>
      </c>
      <c r="C262" s="146" t="s">
        <v>952</v>
      </c>
      <c r="D262" s="147" t="s">
        <v>951</v>
      </c>
      <c r="E262" s="191" t="s">
        <v>145</v>
      </c>
      <c r="F262" s="153">
        <v>1</v>
      </c>
      <c r="G262" s="154" t="s">
        <v>1245</v>
      </c>
      <c r="H262" s="140">
        <v>500</v>
      </c>
      <c r="I262" s="140" t="s">
        <v>376</v>
      </c>
      <c r="J262" s="140">
        <v>1119</v>
      </c>
      <c r="K262" s="142">
        <v>455.5</v>
      </c>
      <c r="L262" s="142">
        <v>399.59999999999997</v>
      </c>
      <c r="M262" s="143">
        <v>600</v>
      </c>
      <c r="N262" s="144">
        <v>100</v>
      </c>
      <c r="O262" s="143">
        <f t="shared" si="52"/>
        <v>500</v>
      </c>
      <c r="P262" s="159">
        <v>150</v>
      </c>
      <c r="Q262" s="159">
        <f t="shared" si="54"/>
        <v>75000</v>
      </c>
      <c r="R262" s="140">
        <v>150</v>
      </c>
      <c r="S262" s="151">
        <f t="shared" si="56"/>
        <v>22500</v>
      </c>
      <c r="T262" s="142">
        <v>100</v>
      </c>
      <c r="U262" s="151">
        <f t="shared" si="57"/>
        <v>15000</v>
      </c>
      <c r="V262" s="140">
        <v>150</v>
      </c>
      <c r="W262" s="151">
        <f t="shared" si="58"/>
        <v>22500</v>
      </c>
      <c r="X262" s="142">
        <v>100</v>
      </c>
      <c r="Y262" s="151">
        <f t="shared" si="59"/>
        <v>15000</v>
      </c>
      <c r="Z262" s="146"/>
      <c r="AA262" s="155">
        <f t="shared" si="60"/>
        <v>500</v>
      </c>
      <c r="AB262" s="155">
        <f t="shared" si="55"/>
        <v>0</v>
      </c>
      <c r="AC262" s="149">
        <f t="shared" si="63"/>
        <v>125</v>
      </c>
      <c r="AD262" s="156">
        <f t="shared" si="62"/>
        <v>18750</v>
      </c>
      <c r="AG262" s="149">
        <v>333</v>
      </c>
      <c r="AH262" s="149">
        <v>80310</v>
      </c>
      <c r="AI262" s="150" t="s">
        <v>1355</v>
      </c>
      <c r="AJ262" s="206">
        <f t="shared" si="53"/>
        <v>399.59999999999997</v>
      </c>
      <c r="AL262" s="149">
        <f t="shared" si="64"/>
        <v>0</v>
      </c>
    </row>
    <row r="263" spans="1:38" ht="15">
      <c r="A263" s="140">
        <v>10949</v>
      </c>
      <c r="B263" s="140">
        <v>247</v>
      </c>
      <c r="C263" s="146"/>
      <c r="D263" s="147"/>
      <c r="E263" s="191" t="s">
        <v>146</v>
      </c>
      <c r="F263" s="153">
        <v>1</v>
      </c>
      <c r="G263" s="154" t="s">
        <v>1254</v>
      </c>
      <c r="H263" s="140">
        <v>60</v>
      </c>
      <c r="I263" s="140" t="s">
        <v>1250</v>
      </c>
      <c r="J263" s="166">
        <v>15935</v>
      </c>
      <c r="K263" s="142">
        <v>11515</v>
      </c>
      <c r="L263" s="142">
        <v>8976</v>
      </c>
      <c r="M263" s="143">
        <v>12000</v>
      </c>
      <c r="N263" s="144">
        <v>4000</v>
      </c>
      <c r="O263" s="143">
        <f t="shared" si="52"/>
        <v>8000</v>
      </c>
      <c r="P263" s="140">
        <v>6.95</v>
      </c>
      <c r="Q263" s="159">
        <f t="shared" si="54"/>
        <v>55600</v>
      </c>
      <c r="R263" s="140">
        <v>1000</v>
      </c>
      <c r="S263" s="151">
        <f t="shared" si="56"/>
        <v>6950</v>
      </c>
      <c r="T263" s="142">
        <v>2500</v>
      </c>
      <c r="U263" s="151">
        <f t="shared" si="57"/>
        <v>17375</v>
      </c>
      <c r="V263" s="140">
        <v>2000</v>
      </c>
      <c r="W263" s="151">
        <f t="shared" si="58"/>
        <v>13900</v>
      </c>
      <c r="X263" s="142">
        <v>2500</v>
      </c>
      <c r="Y263" s="151">
        <f t="shared" si="59"/>
        <v>17375</v>
      </c>
      <c r="Z263" s="146"/>
      <c r="AA263" s="155">
        <f t="shared" si="60"/>
        <v>8000</v>
      </c>
      <c r="AB263" s="155">
        <f t="shared" si="55"/>
        <v>0</v>
      </c>
      <c r="AC263" s="149">
        <f t="shared" si="63"/>
        <v>2000</v>
      </c>
      <c r="AD263" s="156">
        <f t="shared" si="62"/>
        <v>13900</v>
      </c>
      <c r="AG263" s="149">
        <v>7480</v>
      </c>
      <c r="AH263" s="149">
        <v>52463.75</v>
      </c>
      <c r="AI263" s="150" t="s">
        <v>1355</v>
      </c>
      <c r="AJ263" s="206">
        <f t="shared" si="53"/>
        <v>8976</v>
      </c>
      <c r="AL263" s="149">
        <f t="shared" si="64"/>
        <v>0</v>
      </c>
    </row>
    <row r="264" spans="1:38" ht="15">
      <c r="A264" s="130" t="s">
        <v>1199</v>
      </c>
      <c r="B264" s="130" t="s">
        <v>2</v>
      </c>
      <c r="C264" s="130" t="s">
        <v>1200</v>
      </c>
      <c r="D264" s="198" t="s">
        <v>1201</v>
      </c>
      <c r="E264" s="134" t="s">
        <v>1285</v>
      </c>
      <c r="F264" s="134" t="s">
        <v>1295</v>
      </c>
      <c r="G264" s="134" t="s">
        <v>1202</v>
      </c>
      <c r="H264" s="130" t="s">
        <v>1579</v>
      </c>
      <c r="I264" s="130" t="s">
        <v>1203</v>
      </c>
      <c r="J264" s="199"/>
      <c r="K264" s="131" t="s">
        <v>1205</v>
      </c>
      <c r="L264" s="132"/>
      <c r="M264" s="133" t="s">
        <v>0</v>
      </c>
      <c r="N264" s="134" t="s">
        <v>1214</v>
      </c>
      <c r="O264" s="133" t="s">
        <v>0</v>
      </c>
      <c r="P264" s="130" t="s">
        <v>1390</v>
      </c>
      <c r="Q264" s="200" t="s">
        <v>1206</v>
      </c>
      <c r="R264" s="201" t="s">
        <v>1289</v>
      </c>
      <c r="S264" s="132"/>
      <c r="T264" s="201" t="s">
        <v>1290</v>
      </c>
      <c r="U264" s="202"/>
      <c r="V264" s="201" t="s">
        <v>1291</v>
      </c>
      <c r="W264" s="132"/>
      <c r="X264" s="201" t="s">
        <v>1292</v>
      </c>
      <c r="Y264" s="202"/>
      <c r="Z264" s="203" t="s">
        <v>608</v>
      </c>
      <c r="AA264" s="204"/>
      <c r="AB264" s="204"/>
      <c r="AC264" s="149" t="s">
        <v>1318</v>
      </c>
      <c r="AD264" s="149" t="s">
        <v>1389</v>
      </c>
      <c r="AE264" s="205" t="s">
        <v>3</v>
      </c>
      <c r="AF264" s="205" t="s">
        <v>1349</v>
      </c>
      <c r="AG264" s="149" t="s">
        <v>1297</v>
      </c>
      <c r="AH264" s="149" t="s">
        <v>6</v>
      </c>
      <c r="AI264" s="150" t="s">
        <v>1307</v>
      </c>
      <c r="AJ264" s="206" t="s">
        <v>1303</v>
      </c>
      <c r="AK264" s="149" t="s">
        <v>4</v>
      </c>
      <c r="AL264" s="149" t="s">
        <v>1304</v>
      </c>
    </row>
    <row r="265" spans="1:35" ht="15">
      <c r="A265" s="135"/>
      <c r="B265" s="139"/>
      <c r="C265" s="207"/>
      <c r="D265" s="208"/>
      <c r="E265" s="136"/>
      <c r="F265" s="136" t="s">
        <v>1294</v>
      </c>
      <c r="G265" s="136"/>
      <c r="H265" s="139" t="s">
        <v>1204</v>
      </c>
      <c r="I265" s="136" t="s">
        <v>1204</v>
      </c>
      <c r="J265" s="136">
        <v>2562</v>
      </c>
      <c r="K265" s="136">
        <v>2563</v>
      </c>
      <c r="L265" s="137">
        <v>2564</v>
      </c>
      <c r="M265" s="138" t="s">
        <v>1537</v>
      </c>
      <c r="N265" s="136" t="s">
        <v>4</v>
      </c>
      <c r="O265" s="138" t="s">
        <v>1538</v>
      </c>
      <c r="P265" s="139" t="s">
        <v>1286</v>
      </c>
      <c r="Q265" s="209" t="s">
        <v>1391</v>
      </c>
      <c r="R265" s="210" t="s">
        <v>5</v>
      </c>
      <c r="S265" s="139" t="s">
        <v>1208</v>
      </c>
      <c r="T265" s="139" t="s">
        <v>5</v>
      </c>
      <c r="U265" s="211" t="s">
        <v>1208</v>
      </c>
      <c r="V265" s="210" t="s">
        <v>5</v>
      </c>
      <c r="W265" s="139" t="s">
        <v>1208</v>
      </c>
      <c r="X265" s="139" t="s">
        <v>5</v>
      </c>
      <c r="Y265" s="211" t="s">
        <v>1208</v>
      </c>
      <c r="Z265" s="207"/>
      <c r="AA265" s="197"/>
      <c r="AB265" s="197"/>
      <c r="AG265" s="149" t="s">
        <v>1494</v>
      </c>
      <c r="AH265" s="149" t="s">
        <v>1207</v>
      </c>
      <c r="AI265" s="150" t="s">
        <v>1308</v>
      </c>
    </row>
    <row r="266" spans="1:38" ht="15">
      <c r="A266" s="140">
        <v>10949</v>
      </c>
      <c r="B266" s="140">
        <v>248</v>
      </c>
      <c r="C266" s="146"/>
      <c r="D266" s="147"/>
      <c r="E266" s="191" t="s">
        <v>147</v>
      </c>
      <c r="F266" s="153">
        <v>1</v>
      </c>
      <c r="G266" s="154" t="s">
        <v>1256</v>
      </c>
      <c r="H266" s="140">
        <v>1</v>
      </c>
      <c r="I266" s="140" t="s">
        <v>392</v>
      </c>
      <c r="J266" s="140">
        <v>70</v>
      </c>
      <c r="K266" s="142">
        <v>59</v>
      </c>
      <c r="L266" s="142">
        <v>73.19999999999999</v>
      </c>
      <c r="M266" s="143">
        <v>80</v>
      </c>
      <c r="N266" s="144">
        <v>20</v>
      </c>
      <c r="O266" s="143">
        <f t="shared" si="52"/>
        <v>60</v>
      </c>
      <c r="P266" s="140">
        <v>21</v>
      </c>
      <c r="Q266" s="159">
        <f t="shared" si="54"/>
        <v>1260</v>
      </c>
      <c r="R266" s="140">
        <v>0</v>
      </c>
      <c r="S266" s="151">
        <f t="shared" si="56"/>
        <v>0</v>
      </c>
      <c r="T266" s="142">
        <v>0</v>
      </c>
      <c r="U266" s="151">
        <f t="shared" si="57"/>
        <v>0</v>
      </c>
      <c r="V266" s="140">
        <v>60</v>
      </c>
      <c r="W266" s="151">
        <f t="shared" si="58"/>
        <v>1260</v>
      </c>
      <c r="X266" s="142">
        <v>0</v>
      </c>
      <c r="Y266" s="151">
        <f t="shared" si="59"/>
        <v>0</v>
      </c>
      <c r="Z266" s="146"/>
      <c r="AA266" s="155">
        <f t="shared" si="60"/>
        <v>60</v>
      </c>
      <c r="AB266" s="155">
        <f t="shared" si="55"/>
        <v>0</v>
      </c>
      <c r="AC266" s="149">
        <f t="shared" si="63"/>
        <v>15</v>
      </c>
      <c r="AD266" s="156">
        <f t="shared" si="62"/>
        <v>315</v>
      </c>
      <c r="AG266" s="149">
        <v>61</v>
      </c>
      <c r="AH266" s="149">
        <v>1281</v>
      </c>
      <c r="AJ266" s="206">
        <f t="shared" si="53"/>
        <v>73.19999999999999</v>
      </c>
      <c r="AL266" s="149">
        <f t="shared" si="64"/>
        <v>0</v>
      </c>
    </row>
    <row r="267" spans="1:38" ht="15">
      <c r="A267" s="140">
        <v>10949</v>
      </c>
      <c r="B267" s="140">
        <v>249</v>
      </c>
      <c r="C267" s="146"/>
      <c r="D267" s="147"/>
      <c r="E267" s="191" t="s">
        <v>148</v>
      </c>
      <c r="F267" s="153">
        <v>1</v>
      </c>
      <c r="G267" s="154" t="s">
        <v>1245</v>
      </c>
      <c r="H267" s="140">
        <v>1000</v>
      </c>
      <c r="I267" s="140" t="s">
        <v>376</v>
      </c>
      <c r="J267" s="140">
        <v>4</v>
      </c>
      <c r="K267" s="142">
        <v>3</v>
      </c>
      <c r="L267" s="142">
        <v>0</v>
      </c>
      <c r="M267" s="143">
        <v>2</v>
      </c>
      <c r="N267" s="144">
        <v>3</v>
      </c>
      <c r="O267" s="143">
        <v>0</v>
      </c>
      <c r="P267" s="140">
        <v>700</v>
      </c>
      <c r="Q267" s="159">
        <f t="shared" si="54"/>
        <v>0</v>
      </c>
      <c r="R267" s="140">
        <v>0</v>
      </c>
      <c r="S267" s="151">
        <f t="shared" si="56"/>
        <v>0</v>
      </c>
      <c r="T267" s="142">
        <v>0</v>
      </c>
      <c r="U267" s="151">
        <f t="shared" si="57"/>
        <v>0</v>
      </c>
      <c r="V267" s="140">
        <v>0</v>
      </c>
      <c r="W267" s="151">
        <f t="shared" si="58"/>
        <v>0</v>
      </c>
      <c r="X267" s="142">
        <v>0</v>
      </c>
      <c r="Y267" s="151">
        <f t="shared" si="59"/>
        <v>0</v>
      </c>
      <c r="Z267" s="146"/>
      <c r="AA267" s="155">
        <f t="shared" si="60"/>
        <v>0</v>
      </c>
      <c r="AB267" s="155">
        <f t="shared" si="55"/>
        <v>0</v>
      </c>
      <c r="AC267" s="149">
        <f t="shared" si="63"/>
        <v>0</v>
      </c>
      <c r="AD267" s="156">
        <f t="shared" si="62"/>
        <v>0</v>
      </c>
      <c r="AI267" s="150" t="s">
        <v>1352</v>
      </c>
      <c r="AJ267" s="206">
        <f t="shared" si="53"/>
        <v>0</v>
      </c>
      <c r="AL267" s="149">
        <f t="shared" si="64"/>
        <v>0</v>
      </c>
    </row>
    <row r="268" spans="1:38" ht="15">
      <c r="A268" s="140">
        <v>10949</v>
      </c>
      <c r="B268" s="140">
        <v>250</v>
      </c>
      <c r="C268" s="212">
        <v>424258</v>
      </c>
      <c r="D268" s="147" t="s">
        <v>1330</v>
      </c>
      <c r="E268" s="191" t="s">
        <v>149</v>
      </c>
      <c r="F268" s="153">
        <v>1</v>
      </c>
      <c r="G268" s="154" t="s">
        <v>1255</v>
      </c>
      <c r="H268" s="140">
        <v>60</v>
      </c>
      <c r="I268" s="140" t="s">
        <v>1250</v>
      </c>
      <c r="J268" s="140">
        <v>34</v>
      </c>
      <c r="K268" s="142">
        <v>45</v>
      </c>
      <c r="L268" s="142">
        <v>72</v>
      </c>
      <c r="M268" s="143">
        <v>50</v>
      </c>
      <c r="N268" s="144">
        <v>0</v>
      </c>
      <c r="O268" s="143">
        <f t="shared" si="52"/>
        <v>50</v>
      </c>
      <c r="P268" s="140">
        <v>12.01</v>
      </c>
      <c r="Q268" s="159">
        <f t="shared" si="54"/>
        <v>600.5</v>
      </c>
      <c r="R268" s="140">
        <v>0</v>
      </c>
      <c r="S268" s="151">
        <f t="shared" si="56"/>
        <v>0</v>
      </c>
      <c r="T268" s="142">
        <v>50</v>
      </c>
      <c r="U268" s="151">
        <f t="shared" si="57"/>
        <v>600.5</v>
      </c>
      <c r="V268" s="140">
        <v>0</v>
      </c>
      <c r="W268" s="151">
        <f t="shared" si="58"/>
        <v>0</v>
      </c>
      <c r="X268" s="142">
        <v>0</v>
      </c>
      <c r="Y268" s="151">
        <f t="shared" si="59"/>
        <v>0</v>
      </c>
      <c r="Z268" s="146"/>
      <c r="AA268" s="155">
        <f t="shared" si="60"/>
        <v>50</v>
      </c>
      <c r="AB268" s="155">
        <f t="shared" si="55"/>
        <v>0</v>
      </c>
      <c r="AC268" s="149">
        <f t="shared" si="63"/>
        <v>12.5</v>
      </c>
      <c r="AD268" s="156">
        <f t="shared" si="62"/>
        <v>150.125</v>
      </c>
      <c r="AG268" s="149">
        <v>60</v>
      </c>
      <c r="AH268" s="149">
        <v>540</v>
      </c>
      <c r="AI268" s="150" t="s">
        <v>1352</v>
      </c>
      <c r="AJ268" s="206">
        <f t="shared" si="53"/>
        <v>72</v>
      </c>
      <c r="AL268" s="149">
        <f t="shared" si="64"/>
        <v>0</v>
      </c>
    </row>
    <row r="269" spans="1:38" ht="15">
      <c r="A269" s="140">
        <v>10949</v>
      </c>
      <c r="B269" s="140">
        <v>251</v>
      </c>
      <c r="C269" s="212">
        <v>535752</v>
      </c>
      <c r="D269" s="147" t="s">
        <v>1329</v>
      </c>
      <c r="E269" s="191" t="s">
        <v>150</v>
      </c>
      <c r="F269" s="153">
        <v>1</v>
      </c>
      <c r="G269" s="154" t="s">
        <v>1245</v>
      </c>
      <c r="H269" s="140">
        <v>1000</v>
      </c>
      <c r="I269" s="140" t="s">
        <v>376</v>
      </c>
      <c r="J269" s="140">
        <v>4</v>
      </c>
      <c r="K269" s="142">
        <v>8</v>
      </c>
      <c r="L269" s="142">
        <v>7.199999999999999</v>
      </c>
      <c r="M269" s="143">
        <v>8</v>
      </c>
      <c r="N269" s="144">
        <v>4</v>
      </c>
      <c r="O269" s="143">
        <f t="shared" si="52"/>
        <v>4</v>
      </c>
      <c r="P269" s="140">
        <v>194</v>
      </c>
      <c r="Q269" s="159">
        <f t="shared" si="54"/>
        <v>776</v>
      </c>
      <c r="R269" s="140">
        <v>0</v>
      </c>
      <c r="S269" s="151">
        <f t="shared" si="56"/>
        <v>0</v>
      </c>
      <c r="T269" s="142">
        <v>0</v>
      </c>
      <c r="U269" s="151">
        <f t="shared" si="57"/>
        <v>0</v>
      </c>
      <c r="V269" s="140">
        <v>2</v>
      </c>
      <c r="W269" s="151">
        <f t="shared" si="58"/>
        <v>388</v>
      </c>
      <c r="X269" s="142">
        <v>2</v>
      </c>
      <c r="Y269" s="151">
        <f t="shared" si="59"/>
        <v>388</v>
      </c>
      <c r="Z269" s="146"/>
      <c r="AA269" s="155">
        <f t="shared" si="60"/>
        <v>4</v>
      </c>
      <c r="AB269" s="155">
        <f t="shared" si="55"/>
        <v>0</v>
      </c>
      <c r="AC269" s="149">
        <f t="shared" si="63"/>
        <v>1</v>
      </c>
      <c r="AD269" s="156">
        <f t="shared" si="62"/>
        <v>194</v>
      </c>
      <c r="AG269" s="149">
        <v>6</v>
      </c>
      <c r="AH269" s="149">
        <v>1164</v>
      </c>
      <c r="AI269" s="150" t="s">
        <v>1352</v>
      </c>
      <c r="AJ269" s="206">
        <f t="shared" si="53"/>
        <v>7.199999999999999</v>
      </c>
      <c r="AL269" s="149">
        <f t="shared" si="64"/>
        <v>0</v>
      </c>
    </row>
    <row r="270" spans="1:38" ht="15">
      <c r="A270" s="140">
        <v>10949</v>
      </c>
      <c r="B270" s="140">
        <v>252</v>
      </c>
      <c r="C270" s="146" t="s">
        <v>954</v>
      </c>
      <c r="D270" s="147" t="s">
        <v>953</v>
      </c>
      <c r="E270" s="191" t="s">
        <v>151</v>
      </c>
      <c r="F270" s="153">
        <v>1</v>
      </c>
      <c r="G270" s="154" t="s">
        <v>1245</v>
      </c>
      <c r="H270" s="140">
        <v>1000</v>
      </c>
      <c r="I270" s="140" t="s">
        <v>376</v>
      </c>
      <c r="J270" s="140">
        <v>5</v>
      </c>
      <c r="K270" s="142">
        <v>10</v>
      </c>
      <c r="L270" s="142">
        <v>7.199999999999999</v>
      </c>
      <c r="M270" s="143">
        <v>10</v>
      </c>
      <c r="N270" s="144">
        <v>2</v>
      </c>
      <c r="O270" s="143">
        <f t="shared" si="52"/>
        <v>8</v>
      </c>
      <c r="P270" s="140">
        <v>291</v>
      </c>
      <c r="Q270" s="159">
        <f t="shared" si="54"/>
        <v>2328</v>
      </c>
      <c r="R270" s="140">
        <v>2</v>
      </c>
      <c r="S270" s="151">
        <f t="shared" si="56"/>
        <v>582</v>
      </c>
      <c r="T270" s="142">
        <v>2</v>
      </c>
      <c r="U270" s="151">
        <f t="shared" si="57"/>
        <v>582</v>
      </c>
      <c r="V270" s="140">
        <v>2</v>
      </c>
      <c r="W270" s="151">
        <f t="shared" si="58"/>
        <v>582</v>
      </c>
      <c r="X270" s="142">
        <v>2</v>
      </c>
      <c r="Y270" s="151">
        <f t="shared" si="59"/>
        <v>582</v>
      </c>
      <c r="Z270" s="146"/>
      <c r="AA270" s="155">
        <f t="shared" si="60"/>
        <v>8</v>
      </c>
      <c r="AB270" s="155">
        <f t="shared" si="55"/>
        <v>0</v>
      </c>
      <c r="AC270" s="149">
        <f t="shared" si="63"/>
        <v>2</v>
      </c>
      <c r="AD270" s="156">
        <f t="shared" si="62"/>
        <v>582</v>
      </c>
      <c r="AG270" s="149">
        <v>6</v>
      </c>
      <c r="AH270" s="149">
        <v>1746</v>
      </c>
      <c r="AI270" s="150" t="s">
        <v>1352</v>
      </c>
      <c r="AJ270" s="206">
        <f aca="true" t="shared" si="65" ref="AJ270:AJ334">AG270/10*12</f>
        <v>7.199999999999999</v>
      </c>
      <c r="AL270" s="149">
        <f t="shared" si="64"/>
        <v>0</v>
      </c>
    </row>
    <row r="271" spans="1:38" ht="15">
      <c r="A271" s="140">
        <v>10949</v>
      </c>
      <c r="B271" s="140">
        <v>253</v>
      </c>
      <c r="C271" s="146" t="s">
        <v>956</v>
      </c>
      <c r="D271" s="147" t="s">
        <v>955</v>
      </c>
      <c r="E271" s="191" t="s">
        <v>152</v>
      </c>
      <c r="F271" s="153">
        <v>1</v>
      </c>
      <c r="G271" s="154" t="s">
        <v>1245</v>
      </c>
      <c r="H271" s="140">
        <v>1000</v>
      </c>
      <c r="I271" s="140" t="s">
        <v>376</v>
      </c>
      <c r="J271" s="140">
        <v>61</v>
      </c>
      <c r="K271" s="142">
        <v>76</v>
      </c>
      <c r="L271" s="142">
        <v>62.400000000000006</v>
      </c>
      <c r="M271" s="143">
        <v>70</v>
      </c>
      <c r="N271" s="144">
        <v>10</v>
      </c>
      <c r="O271" s="143">
        <f t="shared" si="52"/>
        <v>60</v>
      </c>
      <c r="P271" s="140">
        <v>486</v>
      </c>
      <c r="Q271" s="159">
        <f t="shared" si="54"/>
        <v>29160</v>
      </c>
      <c r="R271" s="140">
        <v>15</v>
      </c>
      <c r="S271" s="151">
        <f t="shared" si="56"/>
        <v>7290</v>
      </c>
      <c r="T271" s="142">
        <v>15</v>
      </c>
      <c r="U271" s="151">
        <f t="shared" si="57"/>
        <v>7290</v>
      </c>
      <c r="V271" s="140">
        <v>15</v>
      </c>
      <c r="W271" s="151">
        <f t="shared" si="58"/>
        <v>7290</v>
      </c>
      <c r="X271" s="142">
        <v>15</v>
      </c>
      <c r="Y271" s="151">
        <f t="shared" si="59"/>
        <v>7290</v>
      </c>
      <c r="Z271" s="146"/>
      <c r="AA271" s="155">
        <f t="shared" si="60"/>
        <v>60</v>
      </c>
      <c r="AB271" s="155">
        <f t="shared" si="55"/>
        <v>0</v>
      </c>
      <c r="AC271" s="149">
        <f t="shared" si="63"/>
        <v>15</v>
      </c>
      <c r="AD271" s="156">
        <f t="shared" si="62"/>
        <v>7290</v>
      </c>
      <c r="AG271" s="149">
        <v>52</v>
      </c>
      <c r="AH271" s="149">
        <v>25677</v>
      </c>
      <c r="AI271" s="150" t="s">
        <v>1356</v>
      </c>
      <c r="AJ271" s="206">
        <f t="shared" si="65"/>
        <v>62.400000000000006</v>
      </c>
      <c r="AL271" s="149">
        <f t="shared" si="64"/>
        <v>0</v>
      </c>
    </row>
    <row r="272" spans="1:38" ht="15">
      <c r="A272" s="140">
        <v>10949</v>
      </c>
      <c r="B272" s="140">
        <v>254</v>
      </c>
      <c r="C272" s="146" t="s">
        <v>958</v>
      </c>
      <c r="D272" s="147" t="s">
        <v>957</v>
      </c>
      <c r="E272" s="191" t="s">
        <v>153</v>
      </c>
      <c r="F272" s="153">
        <v>1</v>
      </c>
      <c r="G272" s="154" t="s">
        <v>1248</v>
      </c>
      <c r="H272" s="140">
        <v>1</v>
      </c>
      <c r="I272" s="140" t="s">
        <v>389</v>
      </c>
      <c r="J272" s="140">
        <v>100</v>
      </c>
      <c r="K272" s="142">
        <v>0</v>
      </c>
      <c r="L272" s="142">
        <v>36</v>
      </c>
      <c r="M272" s="143">
        <v>50</v>
      </c>
      <c r="N272" s="144">
        <v>0</v>
      </c>
      <c r="O272" s="143">
        <f aca="true" t="shared" si="66" ref="O272:O336">M272-N272</f>
        <v>50</v>
      </c>
      <c r="P272" s="140">
        <v>6.5</v>
      </c>
      <c r="Q272" s="159">
        <f aca="true" t="shared" si="67" ref="Q272:Q336">P272*O272</f>
        <v>325</v>
      </c>
      <c r="R272" s="140">
        <v>0</v>
      </c>
      <c r="S272" s="151">
        <f t="shared" si="56"/>
        <v>0</v>
      </c>
      <c r="T272" s="142">
        <v>50</v>
      </c>
      <c r="U272" s="151">
        <f t="shared" si="57"/>
        <v>325</v>
      </c>
      <c r="V272" s="140">
        <v>0</v>
      </c>
      <c r="W272" s="151">
        <f t="shared" si="58"/>
        <v>0</v>
      </c>
      <c r="X272" s="142">
        <v>0</v>
      </c>
      <c r="Y272" s="151">
        <f t="shared" si="59"/>
        <v>0</v>
      </c>
      <c r="Z272" s="146"/>
      <c r="AA272" s="155">
        <f t="shared" si="60"/>
        <v>50</v>
      </c>
      <c r="AB272" s="155">
        <f t="shared" si="55"/>
        <v>0</v>
      </c>
      <c r="AC272" s="149">
        <f t="shared" si="63"/>
        <v>12.5</v>
      </c>
      <c r="AD272" s="156">
        <f t="shared" si="62"/>
        <v>81.25</v>
      </c>
      <c r="AG272" s="149">
        <v>30</v>
      </c>
      <c r="AH272" s="149">
        <v>195</v>
      </c>
      <c r="AJ272" s="206">
        <f t="shared" si="65"/>
        <v>36</v>
      </c>
      <c r="AL272" s="149">
        <f t="shared" si="64"/>
        <v>0</v>
      </c>
    </row>
    <row r="273" spans="1:38" ht="15">
      <c r="A273" s="140">
        <v>10949</v>
      </c>
      <c r="B273" s="140">
        <v>255</v>
      </c>
      <c r="C273" s="146" t="s">
        <v>1192</v>
      </c>
      <c r="D273" s="147" t="s">
        <v>1191</v>
      </c>
      <c r="E273" s="191" t="s">
        <v>154</v>
      </c>
      <c r="F273" s="153">
        <v>1</v>
      </c>
      <c r="G273" s="154" t="s">
        <v>1245</v>
      </c>
      <c r="H273" s="140">
        <v>1000</v>
      </c>
      <c r="I273" s="140" t="s">
        <v>376</v>
      </c>
      <c r="J273" s="140">
        <v>4</v>
      </c>
      <c r="K273" s="142">
        <v>9</v>
      </c>
      <c r="L273" s="142">
        <v>4.800000000000001</v>
      </c>
      <c r="M273" s="143">
        <v>6</v>
      </c>
      <c r="N273" s="144">
        <v>2</v>
      </c>
      <c r="O273" s="143">
        <f t="shared" si="66"/>
        <v>4</v>
      </c>
      <c r="P273" s="140">
        <v>95</v>
      </c>
      <c r="Q273" s="159">
        <f t="shared" si="67"/>
        <v>380</v>
      </c>
      <c r="R273" s="140">
        <v>0</v>
      </c>
      <c r="S273" s="151">
        <f t="shared" si="56"/>
        <v>0</v>
      </c>
      <c r="T273" s="142">
        <v>0</v>
      </c>
      <c r="U273" s="151">
        <f t="shared" si="57"/>
        <v>0</v>
      </c>
      <c r="V273" s="140">
        <v>4</v>
      </c>
      <c r="W273" s="151">
        <f t="shared" si="58"/>
        <v>380</v>
      </c>
      <c r="X273" s="142">
        <v>0</v>
      </c>
      <c r="Y273" s="151">
        <f t="shared" si="59"/>
        <v>0</v>
      </c>
      <c r="Z273" s="146"/>
      <c r="AA273" s="155">
        <f t="shared" si="60"/>
        <v>4</v>
      </c>
      <c r="AB273" s="155">
        <f t="shared" si="55"/>
        <v>0</v>
      </c>
      <c r="AC273" s="149">
        <f t="shared" si="63"/>
        <v>1</v>
      </c>
      <c r="AD273" s="156">
        <f aca="true" t="shared" si="68" ref="AD273:AD306">Q273/4</f>
        <v>95</v>
      </c>
      <c r="AG273" s="149">
        <v>4</v>
      </c>
      <c r="AH273" s="149">
        <v>380</v>
      </c>
      <c r="AI273" s="150" t="s">
        <v>1352</v>
      </c>
      <c r="AJ273" s="206">
        <f t="shared" si="65"/>
        <v>4.800000000000001</v>
      </c>
      <c r="AL273" s="149">
        <f t="shared" si="64"/>
        <v>0</v>
      </c>
    </row>
    <row r="274" spans="1:38" ht="15">
      <c r="A274" s="140">
        <v>10949</v>
      </c>
      <c r="B274" s="140">
        <v>256</v>
      </c>
      <c r="C274" s="146" t="s">
        <v>960</v>
      </c>
      <c r="D274" s="147" t="s">
        <v>959</v>
      </c>
      <c r="E274" s="191" t="s">
        <v>155</v>
      </c>
      <c r="F274" s="153">
        <v>1</v>
      </c>
      <c r="G274" s="154" t="s">
        <v>1245</v>
      </c>
      <c r="H274" s="140">
        <v>1000</v>
      </c>
      <c r="I274" s="140" t="s">
        <v>376</v>
      </c>
      <c r="J274" s="140">
        <v>12</v>
      </c>
      <c r="K274" s="142">
        <v>23</v>
      </c>
      <c r="L274" s="142">
        <v>7.199999999999999</v>
      </c>
      <c r="M274" s="143">
        <v>15</v>
      </c>
      <c r="N274" s="144">
        <v>7</v>
      </c>
      <c r="O274" s="143">
        <f t="shared" si="66"/>
        <v>8</v>
      </c>
      <c r="P274" s="140">
        <v>128.5</v>
      </c>
      <c r="Q274" s="159">
        <f t="shared" si="67"/>
        <v>1028</v>
      </c>
      <c r="R274" s="140">
        <v>0</v>
      </c>
      <c r="S274" s="151">
        <f t="shared" si="56"/>
        <v>0</v>
      </c>
      <c r="T274" s="142">
        <v>4</v>
      </c>
      <c r="U274" s="151">
        <f t="shared" si="57"/>
        <v>514</v>
      </c>
      <c r="V274" s="140">
        <v>0</v>
      </c>
      <c r="W274" s="151">
        <f t="shared" si="58"/>
        <v>0</v>
      </c>
      <c r="X274" s="142">
        <v>4</v>
      </c>
      <c r="Y274" s="151">
        <f t="shared" si="59"/>
        <v>514</v>
      </c>
      <c r="Z274" s="146"/>
      <c r="AA274" s="155">
        <f t="shared" si="60"/>
        <v>8</v>
      </c>
      <c r="AB274" s="155">
        <f t="shared" si="55"/>
        <v>0</v>
      </c>
      <c r="AC274" s="149">
        <f t="shared" si="63"/>
        <v>2</v>
      </c>
      <c r="AD274" s="156">
        <f t="shared" si="68"/>
        <v>257</v>
      </c>
      <c r="AG274" s="149">
        <v>6</v>
      </c>
      <c r="AH274" s="149">
        <v>770.4</v>
      </c>
      <c r="AI274" s="150" t="s">
        <v>1352</v>
      </c>
      <c r="AJ274" s="206">
        <f t="shared" si="65"/>
        <v>7.199999999999999</v>
      </c>
      <c r="AL274" s="149">
        <f t="shared" si="64"/>
        <v>0</v>
      </c>
    </row>
    <row r="275" spans="1:38" ht="15">
      <c r="A275" s="140">
        <v>10949</v>
      </c>
      <c r="B275" s="140">
        <v>257</v>
      </c>
      <c r="C275" s="146"/>
      <c r="D275" s="147"/>
      <c r="E275" s="191" t="s">
        <v>156</v>
      </c>
      <c r="F275" s="153">
        <v>1</v>
      </c>
      <c r="G275" s="154" t="s">
        <v>1245</v>
      </c>
      <c r="H275" s="140">
        <v>1000</v>
      </c>
      <c r="I275" s="140" t="s">
        <v>376</v>
      </c>
      <c r="J275" s="140">
        <v>63</v>
      </c>
      <c r="K275" s="142">
        <v>71</v>
      </c>
      <c r="L275" s="142">
        <v>58.800000000000004</v>
      </c>
      <c r="M275" s="143">
        <v>65</v>
      </c>
      <c r="N275" s="144">
        <v>15</v>
      </c>
      <c r="O275" s="143">
        <f t="shared" si="66"/>
        <v>50</v>
      </c>
      <c r="P275" s="140">
        <v>420</v>
      </c>
      <c r="Q275" s="159">
        <f t="shared" si="67"/>
        <v>21000</v>
      </c>
      <c r="R275" s="140">
        <v>10</v>
      </c>
      <c r="S275" s="151">
        <f t="shared" si="56"/>
        <v>4200</v>
      </c>
      <c r="T275" s="142">
        <v>15</v>
      </c>
      <c r="U275" s="151">
        <f t="shared" si="57"/>
        <v>6300</v>
      </c>
      <c r="V275" s="140">
        <v>10</v>
      </c>
      <c r="W275" s="151">
        <f t="shared" si="58"/>
        <v>4200</v>
      </c>
      <c r="X275" s="142">
        <v>15</v>
      </c>
      <c r="Y275" s="151">
        <f t="shared" si="59"/>
        <v>6300</v>
      </c>
      <c r="Z275" s="146"/>
      <c r="AA275" s="155">
        <f t="shared" si="60"/>
        <v>50</v>
      </c>
      <c r="AB275" s="155">
        <f t="shared" si="55"/>
        <v>0</v>
      </c>
      <c r="AC275" s="149">
        <f t="shared" si="63"/>
        <v>12.5</v>
      </c>
      <c r="AD275" s="156">
        <f t="shared" si="68"/>
        <v>5250</v>
      </c>
      <c r="AG275" s="149">
        <v>49</v>
      </c>
      <c r="AH275" s="149">
        <v>20580</v>
      </c>
      <c r="AI275" s="150" t="s">
        <v>1356</v>
      </c>
      <c r="AJ275" s="206">
        <f t="shared" si="65"/>
        <v>58.800000000000004</v>
      </c>
      <c r="AL275" s="149">
        <f t="shared" si="64"/>
        <v>0</v>
      </c>
    </row>
    <row r="276" spans="1:38" ht="15">
      <c r="A276" s="140">
        <v>10949</v>
      </c>
      <c r="B276" s="140">
        <v>258</v>
      </c>
      <c r="C276" s="146"/>
      <c r="D276" s="147"/>
      <c r="E276" s="191" t="s">
        <v>1342</v>
      </c>
      <c r="F276" s="153">
        <v>1</v>
      </c>
      <c r="G276" s="154" t="s">
        <v>1245</v>
      </c>
      <c r="H276" s="140">
        <v>100</v>
      </c>
      <c r="I276" s="140" t="s">
        <v>376</v>
      </c>
      <c r="J276" s="140">
        <v>244</v>
      </c>
      <c r="K276" s="142">
        <v>316</v>
      </c>
      <c r="L276" s="142">
        <v>283.20000000000005</v>
      </c>
      <c r="M276" s="143">
        <v>300</v>
      </c>
      <c r="N276" s="144">
        <v>0</v>
      </c>
      <c r="O276" s="143">
        <f t="shared" si="66"/>
        <v>300</v>
      </c>
      <c r="P276" s="140">
        <v>329.56</v>
      </c>
      <c r="Q276" s="159">
        <f t="shared" si="67"/>
        <v>98868</v>
      </c>
      <c r="R276" s="140">
        <v>80</v>
      </c>
      <c r="S276" s="151">
        <f t="shared" si="56"/>
        <v>26364.8</v>
      </c>
      <c r="T276" s="142">
        <v>70</v>
      </c>
      <c r="U276" s="151">
        <f t="shared" si="57"/>
        <v>23069.2</v>
      </c>
      <c r="V276" s="140">
        <v>80</v>
      </c>
      <c r="W276" s="151">
        <f t="shared" si="58"/>
        <v>26364.8</v>
      </c>
      <c r="X276" s="142">
        <v>70</v>
      </c>
      <c r="Y276" s="151">
        <f t="shared" si="59"/>
        <v>23069.2</v>
      </c>
      <c r="Z276" s="146"/>
      <c r="AA276" s="155">
        <f t="shared" si="60"/>
        <v>300</v>
      </c>
      <c r="AB276" s="155">
        <f t="shared" si="55"/>
        <v>0</v>
      </c>
      <c r="AC276" s="149">
        <f t="shared" si="63"/>
        <v>75</v>
      </c>
      <c r="AD276" s="156">
        <f t="shared" si="68"/>
        <v>24717</v>
      </c>
      <c r="AG276" s="149">
        <v>236</v>
      </c>
      <c r="AH276" s="149">
        <v>77776.15999999997</v>
      </c>
      <c r="AI276" s="150" t="s">
        <v>1355</v>
      </c>
      <c r="AJ276" s="206">
        <f t="shared" si="65"/>
        <v>283.20000000000005</v>
      </c>
      <c r="AL276" s="149">
        <f t="shared" si="64"/>
        <v>0</v>
      </c>
    </row>
    <row r="277" spans="1:38" ht="15">
      <c r="A277" s="140">
        <v>10949</v>
      </c>
      <c r="B277" s="140">
        <v>259</v>
      </c>
      <c r="C277" s="146" t="s">
        <v>962</v>
      </c>
      <c r="D277" s="147" t="s">
        <v>961</v>
      </c>
      <c r="E277" s="191" t="s">
        <v>533</v>
      </c>
      <c r="F277" s="153">
        <v>1</v>
      </c>
      <c r="G277" s="187" t="s">
        <v>1245</v>
      </c>
      <c r="H277" s="153">
        <v>250</v>
      </c>
      <c r="I277" s="153" t="s">
        <v>376</v>
      </c>
      <c r="J277" s="140">
        <v>56</v>
      </c>
      <c r="K277" s="142">
        <v>11</v>
      </c>
      <c r="L277" s="142">
        <v>0</v>
      </c>
      <c r="M277" s="143">
        <v>20</v>
      </c>
      <c r="N277" s="144">
        <v>5</v>
      </c>
      <c r="O277" s="143">
        <f t="shared" si="66"/>
        <v>15</v>
      </c>
      <c r="P277" s="140">
        <v>647.35</v>
      </c>
      <c r="Q277" s="159">
        <f t="shared" si="67"/>
        <v>9710.25</v>
      </c>
      <c r="R277" s="140">
        <v>0</v>
      </c>
      <c r="S277" s="151">
        <f t="shared" si="56"/>
        <v>0</v>
      </c>
      <c r="T277" s="142">
        <v>5</v>
      </c>
      <c r="U277" s="151">
        <f t="shared" si="57"/>
        <v>3236.75</v>
      </c>
      <c r="V277" s="140">
        <v>5</v>
      </c>
      <c r="W277" s="151">
        <f t="shared" si="58"/>
        <v>3236.75</v>
      </c>
      <c r="X277" s="142">
        <v>5</v>
      </c>
      <c r="Y277" s="151">
        <f t="shared" si="59"/>
        <v>3236.75</v>
      </c>
      <c r="Z277" s="146"/>
      <c r="AA277" s="155">
        <f t="shared" si="60"/>
        <v>15</v>
      </c>
      <c r="AB277" s="155">
        <f t="shared" si="55"/>
        <v>0</v>
      </c>
      <c r="AC277" s="149">
        <f t="shared" si="63"/>
        <v>3.75</v>
      </c>
      <c r="AD277" s="156">
        <f t="shared" si="68"/>
        <v>2427.5625</v>
      </c>
      <c r="AJ277" s="206">
        <f t="shared" si="65"/>
        <v>0</v>
      </c>
      <c r="AL277" s="149">
        <f t="shared" si="64"/>
        <v>0</v>
      </c>
    </row>
    <row r="278" spans="1:38" ht="15">
      <c r="A278" s="140">
        <v>10949</v>
      </c>
      <c r="B278" s="140">
        <v>260</v>
      </c>
      <c r="C278" s="146" t="s">
        <v>964</v>
      </c>
      <c r="D278" s="147" t="s">
        <v>963</v>
      </c>
      <c r="E278" s="191" t="s">
        <v>157</v>
      </c>
      <c r="F278" s="153">
        <v>1</v>
      </c>
      <c r="G278" s="154" t="s">
        <v>1248</v>
      </c>
      <c r="H278" s="140">
        <v>1</v>
      </c>
      <c r="I278" s="140" t="s">
        <v>389</v>
      </c>
      <c r="J278" s="140">
        <v>140</v>
      </c>
      <c r="K278" s="142">
        <v>180</v>
      </c>
      <c r="L278" s="142">
        <v>180</v>
      </c>
      <c r="M278" s="143">
        <v>185</v>
      </c>
      <c r="N278" s="144">
        <v>15</v>
      </c>
      <c r="O278" s="143">
        <f t="shared" si="66"/>
        <v>170</v>
      </c>
      <c r="P278" s="140">
        <v>138</v>
      </c>
      <c r="Q278" s="159">
        <f t="shared" si="67"/>
        <v>23460</v>
      </c>
      <c r="R278" s="140">
        <v>50</v>
      </c>
      <c r="S278" s="151">
        <f t="shared" si="56"/>
        <v>6900</v>
      </c>
      <c r="T278" s="142">
        <v>50</v>
      </c>
      <c r="U278" s="151">
        <f t="shared" si="57"/>
        <v>6900</v>
      </c>
      <c r="V278" s="140">
        <v>0</v>
      </c>
      <c r="W278" s="151">
        <f t="shared" si="58"/>
        <v>0</v>
      </c>
      <c r="X278" s="142">
        <v>70</v>
      </c>
      <c r="Y278" s="151">
        <f t="shared" si="59"/>
        <v>9660</v>
      </c>
      <c r="Z278" s="146"/>
      <c r="AA278" s="155">
        <f t="shared" si="60"/>
        <v>170</v>
      </c>
      <c r="AB278" s="155">
        <f t="shared" si="55"/>
        <v>0</v>
      </c>
      <c r="AC278" s="149">
        <f t="shared" si="63"/>
        <v>42.5</v>
      </c>
      <c r="AD278" s="156">
        <f t="shared" si="68"/>
        <v>5865</v>
      </c>
      <c r="AG278" s="149">
        <v>150</v>
      </c>
      <c r="AH278" s="149">
        <v>20700</v>
      </c>
      <c r="AI278" s="150" t="s">
        <v>1302</v>
      </c>
      <c r="AJ278" s="206">
        <f t="shared" si="65"/>
        <v>180</v>
      </c>
      <c r="AL278" s="149">
        <f t="shared" si="64"/>
        <v>0</v>
      </c>
    </row>
    <row r="279" spans="1:38" ht="15">
      <c r="A279" s="140">
        <v>10949</v>
      </c>
      <c r="B279" s="140">
        <v>261</v>
      </c>
      <c r="C279" s="146" t="s">
        <v>966</v>
      </c>
      <c r="D279" s="147" t="s">
        <v>965</v>
      </c>
      <c r="E279" s="191" t="s">
        <v>158</v>
      </c>
      <c r="F279" s="153">
        <v>1</v>
      </c>
      <c r="G279" s="154" t="s">
        <v>1257</v>
      </c>
      <c r="H279" s="140">
        <v>1</v>
      </c>
      <c r="I279" s="140" t="s">
        <v>388</v>
      </c>
      <c r="J279" s="140">
        <v>10</v>
      </c>
      <c r="K279" s="142">
        <v>0</v>
      </c>
      <c r="L279" s="142">
        <v>0</v>
      </c>
      <c r="M279" s="143">
        <v>10</v>
      </c>
      <c r="N279" s="144">
        <v>0</v>
      </c>
      <c r="O279" s="143">
        <f t="shared" si="66"/>
        <v>10</v>
      </c>
      <c r="P279" s="140">
        <v>62.495000000000005</v>
      </c>
      <c r="Q279" s="159">
        <f t="shared" si="67"/>
        <v>624.95</v>
      </c>
      <c r="R279" s="140">
        <v>10</v>
      </c>
      <c r="S279" s="151">
        <f t="shared" si="56"/>
        <v>624.95</v>
      </c>
      <c r="T279" s="142">
        <v>0</v>
      </c>
      <c r="U279" s="151">
        <f t="shared" si="57"/>
        <v>0</v>
      </c>
      <c r="V279" s="140">
        <v>0</v>
      </c>
      <c r="W279" s="151">
        <f t="shared" si="58"/>
        <v>0</v>
      </c>
      <c r="X279" s="142">
        <v>0</v>
      </c>
      <c r="Y279" s="151">
        <f t="shared" si="59"/>
        <v>0</v>
      </c>
      <c r="Z279" s="146"/>
      <c r="AA279" s="155">
        <f t="shared" si="60"/>
        <v>10</v>
      </c>
      <c r="AB279" s="155">
        <f t="shared" si="55"/>
        <v>0</v>
      </c>
      <c r="AC279" s="149">
        <f t="shared" si="63"/>
        <v>2.5</v>
      </c>
      <c r="AD279" s="156">
        <f t="shared" si="68"/>
        <v>156.2375</v>
      </c>
      <c r="AI279" s="150" t="s">
        <v>1352</v>
      </c>
      <c r="AJ279" s="206">
        <f t="shared" si="65"/>
        <v>0</v>
      </c>
      <c r="AL279" s="149">
        <f t="shared" si="64"/>
        <v>0</v>
      </c>
    </row>
    <row r="280" spans="1:38" ht="15">
      <c r="A280" s="140">
        <v>10949</v>
      </c>
      <c r="B280" s="140">
        <v>262</v>
      </c>
      <c r="C280" s="146"/>
      <c r="D280" s="147"/>
      <c r="E280" s="191" t="s">
        <v>1486</v>
      </c>
      <c r="F280" s="153">
        <v>2</v>
      </c>
      <c r="G280" s="154" t="s">
        <v>1245</v>
      </c>
      <c r="H280" s="140">
        <v>500</v>
      </c>
      <c r="I280" s="140" t="s">
        <v>376</v>
      </c>
      <c r="J280" s="140">
        <v>1</v>
      </c>
      <c r="K280" s="142">
        <v>4</v>
      </c>
      <c r="L280" s="142">
        <v>10.8</v>
      </c>
      <c r="M280" s="143">
        <v>15</v>
      </c>
      <c r="N280" s="144">
        <v>0</v>
      </c>
      <c r="O280" s="143">
        <f t="shared" si="66"/>
        <v>15</v>
      </c>
      <c r="P280" s="140">
        <v>350</v>
      </c>
      <c r="Q280" s="159">
        <f t="shared" si="67"/>
        <v>5250</v>
      </c>
      <c r="R280" s="140">
        <v>4</v>
      </c>
      <c r="S280" s="151">
        <f t="shared" si="56"/>
        <v>1400</v>
      </c>
      <c r="T280" s="142">
        <v>3</v>
      </c>
      <c r="U280" s="151">
        <f t="shared" si="57"/>
        <v>1050</v>
      </c>
      <c r="V280" s="140">
        <v>4</v>
      </c>
      <c r="W280" s="151">
        <f t="shared" si="58"/>
        <v>1400</v>
      </c>
      <c r="X280" s="142">
        <v>4</v>
      </c>
      <c r="Y280" s="151">
        <f t="shared" si="59"/>
        <v>1400</v>
      </c>
      <c r="Z280" s="146"/>
      <c r="AA280" s="155">
        <f t="shared" si="60"/>
        <v>15</v>
      </c>
      <c r="AB280" s="155">
        <f t="shared" si="55"/>
        <v>0</v>
      </c>
      <c r="AC280" s="149">
        <f t="shared" si="63"/>
        <v>3.75</v>
      </c>
      <c r="AD280" s="156"/>
      <c r="AG280" s="149">
        <v>9</v>
      </c>
      <c r="AH280" s="149">
        <v>3150</v>
      </c>
      <c r="AJ280" s="206">
        <f t="shared" si="65"/>
        <v>10.8</v>
      </c>
      <c r="AL280" s="149">
        <f t="shared" si="64"/>
        <v>0</v>
      </c>
    </row>
    <row r="281" spans="1:38" ht="15">
      <c r="A281" s="140">
        <v>10949</v>
      </c>
      <c r="B281" s="140">
        <v>263</v>
      </c>
      <c r="C281" s="146" t="s">
        <v>968</v>
      </c>
      <c r="D281" s="147" t="s">
        <v>967</v>
      </c>
      <c r="E281" s="191" t="s">
        <v>159</v>
      </c>
      <c r="F281" s="153">
        <v>1</v>
      </c>
      <c r="G281" s="154" t="s">
        <v>1257</v>
      </c>
      <c r="H281" s="140">
        <v>15</v>
      </c>
      <c r="I281" s="140" t="s">
        <v>1250</v>
      </c>
      <c r="J281" s="140">
        <v>12</v>
      </c>
      <c r="K281" s="142">
        <v>17</v>
      </c>
      <c r="L281" s="142">
        <v>6</v>
      </c>
      <c r="M281" s="143">
        <v>12</v>
      </c>
      <c r="N281" s="144">
        <v>0</v>
      </c>
      <c r="O281" s="143">
        <f t="shared" si="66"/>
        <v>12</v>
      </c>
      <c r="P281" s="160">
        <v>275</v>
      </c>
      <c r="Q281" s="159">
        <f t="shared" si="67"/>
        <v>3300</v>
      </c>
      <c r="R281" s="140">
        <v>12</v>
      </c>
      <c r="S281" s="151">
        <f t="shared" si="56"/>
        <v>3300</v>
      </c>
      <c r="T281" s="142">
        <v>0</v>
      </c>
      <c r="U281" s="151">
        <f t="shared" si="57"/>
        <v>0</v>
      </c>
      <c r="V281" s="140">
        <v>0</v>
      </c>
      <c r="W281" s="151">
        <f t="shared" si="58"/>
        <v>0</v>
      </c>
      <c r="X281" s="142">
        <v>0</v>
      </c>
      <c r="Y281" s="151">
        <f t="shared" si="59"/>
        <v>0</v>
      </c>
      <c r="Z281" s="146"/>
      <c r="AA281" s="155">
        <f t="shared" si="60"/>
        <v>12</v>
      </c>
      <c r="AB281" s="155">
        <f aca="true" t="shared" si="69" ref="AB281:AB346">O281-AA281</f>
        <v>0</v>
      </c>
      <c r="AC281" s="149">
        <f aca="true" t="shared" si="70" ref="AC281:AC310">O281/4</f>
        <v>3</v>
      </c>
      <c r="AD281" s="156">
        <f t="shared" si="68"/>
        <v>825</v>
      </c>
      <c r="AG281" s="149">
        <v>5</v>
      </c>
      <c r="AH281" s="149">
        <v>1375</v>
      </c>
      <c r="AI281" s="150" t="s">
        <v>1352</v>
      </c>
      <c r="AJ281" s="206">
        <f t="shared" si="65"/>
        <v>6</v>
      </c>
      <c r="AL281" s="149">
        <f t="shared" si="64"/>
        <v>0</v>
      </c>
    </row>
    <row r="282" spans="1:38" ht="15">
      <c r="A282" s="140">
        <v>10949</v>
      </c>
      <c r="B282" s="140">
        <v>264</v>
      </c>
      <c r="C282" s="146" t="s">
        <v>970</v>
      </c>
      <c r="D282" s="147" t="s">
        <v>969</v>
      </c>
      <c r="E282" s="152" t="s">
        <v>1198</v>
      </c>
      <c r="F282" s="153">
        <v>2</v>
      </c>
      <c r="G282" s="146" t="s">
        <v>1257</v>
      </c>
      <c r="H282" s="140">
        <v>1</v>
      </c>
      <c r="I282" s="140" t="s">
        <v>388</v>
      </c>
      <c r="J282" s="140">
        <v>10</v>
      </c>
      <c r="K282" s="142">
        <v>10</v>
      </c>
      <c r="L282" s="142">
        <v>12</v>
      </c>
      <c r="M282" s="143">
        <v>12</v>
      </c>
      <c r="N282" s="144">
        <v>0</v>
      </c>
      <c r="O282" s="143">
        <f t="shared" si="66"/>
        <v>12</v>
      </c>
      <c r="P282" s="230">
        <v>268.92666</v>
      </c>
      <c r="Q282" s="159">
        <f t="shared" si="67"/>
        <v>3227.11992</v>
      </c>
      <c r="R282" s="140">
        <v>3</v>
      </c>
      <c r="S282" s="151">
        <f t="shared" si="56"/>
        <v>806.77998</v>
      </c>
      <c r="T282" s="142">
        <v>3</v>
      </c>
      <c r="U282" s="151">
        <f t="shared" si="57"/>
        <v>806.77998</v>
      </c>
      <c r="V282" s="140">
        <v>3</v>
      </c>
      <c r="W282" s="151">
        <f t="shared" si="58"/>
        <v>806.77998</v>
      </c>
      <c r="X282" s="142">
        <v>3</v>
      </c>
      <c r="Y282" s="151">
        <f t="shared" si="59"/>
        <v>806.77998</v>
      </c>
      <c r="Z282" s="146"/>
      <c r="AA282" s="155">
        <f t="shared" si="60"/>
        <v>12</v>
      </c>
      <c r="AB282" s="155">
        <f t="shared" si="69"/>
        <v>0</v>
      </c>
      <c r="AC282" s="149">
        <f t="shared" si="70"/>
        <v>3</v>
      </c>
      <c r="AD282" s="156">
        <f t="shared" si="68"/>
        <v>806.77998</v>
      </c>
      <c r="AG282" s="149">
        <v>10</v>
      </c>
      <c r="AH282" s="149">
        <v>2642.9</v>
      </c>
      <c r="AJ282" s="206">
        <f t="shared" si="65"/>
        <v>12</v>
      </c>
      <c r="AL282" s="149">
        <f t="shared" si="64"/>
        <v>0</v>
      </c>
    </row>
    <row r="283" spans="1:38" ht="15">
      <c r="A283" s="140">
        <v>10949</v>
      </c>
      <c r="B283" s="140">
        <v>265</v>
      </c>
      <c r="C283" s="146" t="s">
        <v>972</v>
      </c>
      <c r="D283" s="147" t="s">
        <v>971</v>
      </c>
      <c r="E283" s="152" t="s">
        <v>534</v>
      </c>
      <c r="F283" s="153">
        <v>1</v>
      </c>
      <c r="G283" s="146" t="s">
        <v>1257</v>
      </c>
      <c r="H283" s="153">
        <v>1</v>
      </c>
      <c r="I283" s="153" t="s">
        <v>535</v>
      </c>
      <c r="J283" s="140">
        <v>1512</v>
      </c>
      <c r="K283" s="142">
        <v>516</v>
      </c>
      <c r="L283" s="142">
        <v>1411.1999999999998</v>
      </c>
      <c r="M283" s="143">
        <v>1500</v>
      </c>
      <c r="N283" s="144">
        <v>200</v>
      </c>
      <c r="O283" s="143">
        <f t="shared" si="66"/>
        <v>1300</v>
      </c>
      <c r="P283" s="140">
        <v>13.85</v>
      </c>
      <c r="Q283" s="159">
        <f t="shared" si="67"/>
        <v>18005</v>
      </c>
      <c r="R283" s="140">
        <v>300</v>
      </c>
      <c r="S283" s="151">
        <f t="shared" si="56"/>
        <v>4155</v>
      </c>
      <c r="T283" s="142">
        <v>400</v>
      </c>
      <c r="U283" s="151">
        <f t="shared" si="57"/>
        <v>5540</v>
      </c>
      <c r="V283" s="140">
        <v>300</v>
      </c>
      <c r="W283" s="151">
        <f t="shared" si="58"/>
        <v>4155</v>
      </c>
      <c r="X283" s="142">
        <v>300</v>
      </c>
      <c r="Y283" s="151">
        <f t="shared" si="59"/>
        <v>4155</v>
      </c>
      <c r="Z283" s="146"/>
      <c r="AA283" s="155">
        <f t="shared" si="60"/>
        <v>1300</v>
      </c>
      <c r="AB283" s="155">
        <f t="shared" si="69"/>
        <v>0</v>
      </c>
      <c r="AC283" s="149">
        <f t="shared" si="70"/>
        <v>325</v>
      </c>
      <c r="AD283" s="156">
        <f t="shared" si="68"/>
        <v>4501.25</v>
      </c>
      <c r="AG283" s="149">
        <v>1176</v>
      </c>
      <c r="AH283" s="149">
        <v>16287.600000000011</v>
      </c>
      <c r="AI283" s="150" t="s">
        <v>1356</v>
      </c>
      <c r="AJ283" s="206">
        <f t="shared" si="65"/>
        <v>1411.1999999999998</v>
      </c>
      <c r="AL283" s="149">
        <f t="shared" si="64"/>
        <v>0</v>
      </c>
    </row>
    <row r="284" spans="1:38" ht="15">
      <c r="A284" s="140">
        <v>10949</v>
      </c>
      <c r="B284" s="140">
        <v>266</v>
      </c>
      <c r="C284" s="146" t="s">
        <v>974</v>
      </c>
      <c r="D284" s="147" t="s">
        <v>973</v>
      </c>
      <c r="E284" s="191" t="s">
        <v>510</v>
      </c>
      <c r="F284" s="153">
        <v>1</v>
      </c>
      <c r="G284" s="154" t="s">
        <v>1268</v>
      </c>
      <c r="H284" s="153">
        <v>240</v>
      </c>
      <c r="I284" s="153" t="s">
        <v>1250</v>
      </c>
      <c r="J284" s="140">
        <v>576</v>
      </c>
      <c r="K284" s="142">
        <v>515</v>
      </c>
      <c r="L284" s="142">
        <v>330</v>
      </c>
      <c r="M284" s="143">
        <v>500</v>
      </c>
      <c r="N284" s="173">
        <v>50</v>
      </c>
      <c r="O284" s="143">
        <f t="shared" si="66"/>
        <v>450</v>
      </c>
      <c r="P284" s="140">
        <v>47</v>
      </c>
      <c r="Q284" s="159">
        <f t="shared" si="67"/>
        <v>21150</v>
      </c>
      <c r="R284" s="140">
        <v>120</v>
      </c>
      <c r="S284" s="151">
        <f aca="true" t="shared" si="71" ref="S284:S349">R284*P284</f>
        <v>5640</v>
      </c>
      <c r="T284" s="142">
        <v>100</v>
      </c>
      <c r="U284" s="151">
        <f aca="true" t="shared" si="72" ref="U284:U349">T284*P284</f>
        <v>4700</v>
      </c>
      <c r="V284" s="140">
        <v>130</v>
      </c>
      <c r="W284" s="151">
        <f aca="true" t="shared" si="73" ref="W284:W349">V284*P284</f>
        <v>6110</v>
      </c>
      <c r="X284" s="142">
        <v>100</v>
      </c>
      <c r="Y284" s="151">
        <f aca="true" t="shared" si="74" ref="Y284:Y349">X284*P284</f>
        <v>4700</v>
      </c>
      <c r="Z284" s="146"/>
      <c r="AA284" s="155">
        <f aca="true" t="shared" si="75" ref="AA284:AA349">R284+T284+V284+X284</f>
        <v>450</v>
      </c>
      <c r="AB284" s="155">
        <f t="shared" si="69"/>
        <v>0</v>
      </c>
      <c r="AC284" s="149">
        <f t="shared" si="70"/>
        <v>112.5</v>
      </c>
      <c r="AD284" s="156">
        <f t="shared" si="68"/>
        <v>5287.5</v>
      </c>
      <c r="AG284" s="149">
        <v>275</v>
      </c>
      <c r="AH284" s="149">
        <v>11917.000000000002</v>
      </c>
      <c r="AI284" s="150" t="s">
        <v>1356</v>
      </c>
      <c r="AJ284" s="206">
        <f t="shared" si="65"/>
        <v>330</v>
      </c>
      <c r="AL284" s="149">
        <f t="shared" si="64"/>
        <v>0</v>
      </c>
    </row>
    <row r="285" spans="1:38" ht="15">
      <c r="A285" s="140">
        <v>10949</v>
      </c>
      <c r="B285" s="140">
        <v>267</v>
      </c>
      <c r="C285" s="146" t="s">
        <v>976</v>
      </c>
      <c r="D285" s="147" t="s">
        <v>975</v>
      </c>
      <c r="E285" s="191" t="s">
        <v>600</v>
      </c>
      <c r="F285" s="153">
        <v>1</v>
      </c>
      <c r="G285" s="154" t="s">
        <v>1248</v>
      </c>
      <c r="H285" s="140">
        <v>1</v>
      </c>
      <c r="I285" s="140" t="s">
        <v>389</v>
      </c>
      <c r="J285" s="140">
        <v>306</v>
      </c>
      <c r="K285" s="142">
        <v>284</v>
      </c>
      <c r="L285" s="142">
        <v>266.4</v>
      </c>
      <c r="M285" s="143">
        <v>300</v>
      </c>
      <c r="N285" s="144">
        <v>100</v>
      </c>
      <c r="O285" s="143">
        <f t="shared" si="66"/>
        <v>200</v>
      </c>
      <c r="P285" s="140">
        <v>8</v>
      </c>
      <c r="Q285" s="159">
        <f t="shared" si="67"/>
        <v>1600</v>
      </c>
      <c r="R285" s="140">
        <v>0</v>
      </c>
      <c r="S285" s="151">
        <f t="shared" si="71"/>
        <v>0</v>
      </c>
      <c r="T285" s="142">
        <v>200</v>
      </c>
      <c r="U285" s="151">
        <f t="shared" si="72"/>
        <v>1600</v>
      </c>
      <c r="V285" s="140">
        <v>0</v>
      </c>
      <c r="W285" s="151">
        <f t="shared" si="73"/>
        <v>0</v>
      </c>
      <c r="X285" s="142">
        <v>0</v>
      </c>
      <c r="Y285" s="151">
        <f t="shared" si="74"/>
        <v>0</v>
      </c>
      <c r="Z285" s="146"/>
      <c r="AA285" s="155">
        <f t="shared" si="75"/>
        <v>200</v>
      </c>
      <c r="AB285" s="155">
        <f t="shared" si="69"/>
        <v>0</v>
      </c>
      <c r="AC285" s="149">
        <f t="shared" si="70"/>
        <v>50</v>
      </c>
      <c r="AD285" s="156">
        <f t="shared" si="68"/>
        <v>400</v>
      </c>
      <c r="AG285" s="149">
        <v>222</v>
      </c>
      <c r="AH285" s="149">
        <v>1776</v>
      </c>
      <c r="AI285" s="150" t="s">
        <v>1300</v>
      </c>
      <c r="AJ285" s="206">
        <f t="shared" si="65"/>
        <v>266.4</v>
      </c>
      <c r="AL285" s="149">
        <f t="shared" si="64"/>
        <v>0</v>
      </c>
    </row>
    <row r="286" spans="1:38" ht="15">
      <c r="A286" s="140">
        <v>10949</v>
      </c>
      <c r="B286" s="140">
        <v>268</v>
      </c>
      <c r="C286" s="146"/>
      <c r="D286" s="147"/>
      <c r="E286" s="191" t="s">
        <v>160</v>
      </c>
      <c r="F286" s="153">
        <v>1</v>
      </c>
      <c r="G286" s="154" t="s">
        <v>1257</v>
      </c>
      <c r="H286" s="140">
        <v>450</v>
      </c>
      <c r="I286" s="140" t="s">
        <v>1250</v>
      </c>
      <c r="J286" s="140">
        <v>218</v>
      </c>
      <c r="K286" s="142">
        <v>227</v>
      </c>
      <c r="L286" s="142">
        <v>214.79999999999998</v>
      </c>
      <c r="M286" s="143">
        <v>230</v>
      </c>
      <c r="N286" s="144">
        <v>10</v>
      </c>
      <c r="O286" s="143">
        <f t="shared" si="66"/>
        <v>220</v>
      </c>
      <c r="P286" s="140">
        <v>82</v>
      </c>
      <c r="Q286" s="159">
        <f t="shared" si="67"/>
        <v>18040</v>
      </c>
      <c r="R286" s="140">
        <v>60</v>
      </c>
      <c r="S286" s="151">
        <f t="shared" si="71"/>
        <v>4920</v>
      </c>
      <c r="T286" s="142">
        <v>60</v>
      </c>
      <c r="U286" s="151">
        <f t="shared" si="72"/>
        <v>4920</v>
      </c>
      <c r="V286" s="140">
        <v>60</v>
      </c>
      <c r="W286" s="151">
        <f t="shared" si="73"/>
        <v>4920</v>
      </c>
      <c r="X286" s="142">
        <v>40</v>
      </c>
      <c r="Y286" s="151">
        <f t="shared" si="74"/>
        <v>3280</v>
      </c>
      <c r="Z286" s="146"/>
      <c r="AA286" s="155">
        <f t="shared" si="75"/>
        <v>220</v>
      </c>
      <c r="AB286" s="155">
        <f t="shared" si="69"/>
        <v>0</v>
      </c>
      <c r="AC286" s="149">
        <f t="shared" si="70"/>
        <v>55</v>
      </c>
      <c r="AD286" s="156">
        <f t="shared" si="68"/>
        <v>4510</v>
      </c>
      <c r="AG286" s="149">
        <v>179</v>
      </c>
      <c r="AH286" s="149">
        <v>14678</v>
      </c>
      <c r="AI286" s="150" t="s">
        <v>1356</v>
      </c>
      <c r="AJ286" s="206">
        <f t="shared" si="65"/>
        <v>214.79999999999998</v>
      </c>
      <c r="AL286" s="149">
        <f t="shared" si="64"/>
        <v>0</v>
      </c>
    </row>
    <row r="287" spans="1:38" ht="15">
      <c r="A287" s="140">
        <v>10949</v>
      </c>
      <c r="B287" s="140">
        <v>269</v>
      </c>
      <c r="C287" s="146" t="s">
        <v>978</v>
      </c>
      <c r="D287" s="147" t="s">
        <v>977</v>
      </c>
      <c r="E287" s="191" t="s">
        <v>556</v>
      </c>
      <c r="F287" s="153">
        <v>1</v>
      </c>
      <c r="G287" s="154" t="s">
        <v>1257</v>
      </c>
      <c r="H287" s="140">
        <v>450</v>
      </c>
      <c r="I287" s="140" t="s">
        <v>1250</v>
      </c>
      <c r="J287" s="140">
        <v>192</v>
      </c>
      <c r="K287" s="142">
        <v>131</v>
      </c>
      <c r="L287" s="142">
        <v>111.60000000000001</v>
      </c>
      <c r="M287" s="143">
        <v>150</v>
      </c>
      <c r="N287" s="144">
        <v>30</v>
      </c>
      <c r="O287" s="143">
        <f t="shared" si="66"/>
        <v>120</v>
      </c>
      <c r="P287" s="140">
        <v>75</v>
      </c>
      <c r="Q287" s="159">
        <f t="shared" si="67"/>
        <v>9000</v>
      </c>
      <c r="R287" s="140">
        <v>30</v>
      </c>
      <c r="S287" s="151">
        <f t="shared" si="71"/>
        <v>2250</v>
      </c>
      <c r="T287" s="142">
        <v>30</v>
      </c>
      <c r="U287" s="151">
        <f t="shared" si="72"/>
        <v>2250</v>
      </c>
      <c r="V287" s="140">
        <v>30</v>
      </c>
      <c r="W287" s="151">
        <f t="shared" si="73"/>
        <v>2250</v>
      </c>
      <c r="X287" s="142">
        <v>30</v>
      </c>
      <c r="Y287" s="151">
        <f t="shared" si="74"/>
        <v>2250</v>
      </c>
      <c r="Z287" s="146"/>
      <c r="AA287" s="155">
        <f t="shared" si="75"/>
        <v>120</v>
      </c>
      <c r="AB287" s="155">
        <f t="shared" si="69"/>
        <v>0</v>
      </c>
      <c r="AC287" s="149">
        <f t="shared" si="70"/>
        <v>30</v>
      </c>
      <c r="AD287" s="156">
        <f t="shared" si="68"/>
        <v>2250</v>
      </c>
      <c r="AG287" s="149">
        <v>93</v>
      </c>
      <c r="AH287" s="149">
        <v>6866.189999999996</v>
      </c>
      <c r="AI287" s="150" t="s">
        <v>1352</v>
      </c>
      <c r="AJ287" s="206">
        <f t="shared" si="65"/>
        <v>111.60000000000001</v>
      </c>
      <c r="AL287" s="149">
        <f t="shared" si="64"/>
        <v>0</v>
      </c>
    </row>
    <row r="288" spans="1:38" ht="15">
      <c r="A288" s="140">
        <v>10949</v>
      </c>
      <c r="B288" s="140">
        <v>270</v>
      </c>
      <c r="C288" s="146" t="s">
        <v>980</v>
      </c>
      <c r="D288" s="147" t="s">
        <v>979</v>
      </c>
      <c r="E288" s="191" t="s">
        <v>161</v>
      </c>
      <c r="F288" s="153">
        <v>1</v>
      </c>
      <c r="G288" s="154" t="s">
        <v>1257</v>
      </c>
      <c r="H288" s="140">
        <v>30</v>
      </c>
      <c r="I288" s="140" t="s">
        <v>1250</v>
      </c>
      <c r="J288" s="140">
        <v>150</v>
      </c>
      <c r="K288" s="142">
        <v>202</v>
      </c>
      <c r="L288" s="142">
        <v>139.2</v>
      </c>
      <c r="M288" s="143">
        <v>172</v>
      </c>
      <c r="N288" s="144">
        <v>52</v>
      </c>
      <c r="O288" s="143">
        <f t="shared" si="66"/>
        <v>120</v>
      </c>
      <c r="P288" s="140">
        <v>15</v>
      </c>
      <c r="Q288" s="159">
        <f t="shared" si="67"/>
        <v>1800</v>
      </c>
      <c r="R288" s="140">
        <v>0</v>
      </c>
      <c r="S288" s="151">
        <f t="shared" si="71"/>
        <v>0</v>
      </c>
      <c r="T288" s="142">
        <v>0</v>
      </c>
      <c r="U288" s="151">
        <f t="shared" si="72"/>
        <v>0</v>
      </c>
      <c r="V288" s="140">
        <v>120</v>
      </c>
      <c r="W288" s="151">
        <f t="shared" si="73"/>
        <v>1800</v>
      </c>
      <c r="X288" s="142">
        <v>0</v>
      </c>
      <c r="Y288" s="151">
        <f t="shared" si="74"/>
        <v>0</v>
      </c>
      <c r="Z288" s="146"/>
      <c r="AA288" s="155">
        <f t="shared" si="75"/>
        <v>120</v>
      </c>
      <c r="AB288" s="155">
        <f t="shared" si="69"/>
        <v>0</v>
      </c>
      <c r="AC288" s="149">
        <f t="shared" si="70"/>
        <v>30</v>
      </c>
      <c r="AD288" s="156">
        <f t="shared" si="68"/>
        <v>450</v>
      </c>
      <c r="AG288" s="149">
        <v>116</v>
      </c>
      <c r="AH288" s="149">
        <v>1740</v>
      </c>
      <c r="AI288" s="150" t="s">
        <v>1352</v>
      </c>
      <c r="AJ288" s="206">
        <f t="shared" si="65"/>
        <v>139.2</v>
      </c>
      <c r="AL288" s="149">
        <f t="shared" si="64"/>
        <v>0</v>
      </c>
    </row>
    <row r="289" spans="1:38" ht="15">
      <c r="A289" s="140">
        <v>10949</v>
      </c>
      <c r="B289" s="140">
        <v>271</v>
      </c>
      <c r="C289" s="146" t="s">
        <v>982</v>
      </c>
      <c r="D289" s="147" t="s">
        <v>981</v>
      </c>
      <c r="E289" s="191" t="s">
        <v>400</v>
      </c>
      <c r="F289" s="153">
        <v>1</v>
      </c>
      <c r="G289" s="154" t="s">
        <v>1248</v>
      </c>
      <c r="H289" s="140">
        <v>1</v>
      </c>
      <c r="I289" s="140" t="s">
        <v>392</v>
      </c>
      <c r="J289" s="140">
        <v>2</v>
      </c>
      <c r="K289" s="142">
        <v>0</v>
      </c>
      <c r="L289" s="142">
        <v>0</v>
      </c>
      <c r="M289" s="143">
        <v>0</v>
      </c>
      <c r="N289" s="144">
        <v>0</v>
      </c>
      <c r="O289" s="143">
        <f t="shared" si="66"/>
        <v>0</v>
      </c>
      <c r="P289" s="140">
        <v>750</v>
      </c>
      <c r="Q289" s="159">
        <f t="shared" si="67"/>
        <v>0</v>
      </c>
      <c r="R289" s="140">
        <v>0</v>
      </c>
      <c r="S289" s="151">
        <f t="shared" si="71"/>
        <v>0</v>
      </c>
      <c r="T289" s="142">
        <v>0</v>
      </c>
      <c r="U289" s="151">
        <f t="shared" si="72"/>
        <v>0</v>
      </c>
      <c r="V289" s="140">
        <v>0</v>
      </c>
      <c r="W289" s="151">
        <f t="shared" si="73"/>
        <v>0</v>
      </c>
      <c r="X289" s="142">
        <v>0</v>
      </c>
      <c r="Y289" s="151">
        <f t="shared" si="74"/>
        <v>0</v>
      </c>
      <c r="Z289" s="146"/>
      <c r="AA289" s="155">
        <f t="shared" si="75"/>
        <v>0</v>
      </c>
      <c r="AB289" s="155">
        <f t="shared" si="69"/>
        <v>0</v>
      </c>
      <c r="AC289" s="149">
        <f t="shared" si="70"/>
        <v>0</v>
      </c>
      <c r="AD289" s="156">
        <f t="shared" si="68"/>
        <v>0</v>
      </c>
      <c r="AI289" s="150" t="s">
        <v>1300</v>
      </c>
      <c r="AJ289" s="206">
        <f t="shared" si="65"/>
        <v>0</v>
      </c>
      <c r="AL289" s="149">
        <f aca="true" t="shared" si="76" ref="AL289:AL321">AK289/H289</f>
        <v>0</v>
      </c>
    </row>
    <row r="290" spans="1:38" ht="15">
      <c r="A290" s="140">
        <v>10949</v>
      </c>
      <c r="B290" s="140">
        <v>272</v>
      </c>
      <c r="C290" s="146" t="s">
        <v>984</v>
      </c>
      <c r="D290" s="147" t="s">
        <v>983</v>
      </c>
      <c r="E290" s="191" t="s">
        <v>162</v>
      </c>
      <c r="F290" s="153">
        <v>1</v>
      </c>
      <c r="G290" s="154" t="s">
        <v>1245</v>
      </c>
      <c r="H290" s="140">
        <v>100</v>
      </c>
      <c r="I290" s="140" t="s">
        <v>376</v>
      </c>
      <c r="J290" s="140">
        <v>7</v>
      </c>
      <c r="K290" s="142">
        <v>9</v>
      </c>
      <c r="L290" s="142">
        <v>3.5999999999999996</v>
      </c>
      <c r="M290" s="143">
        <v>8</v>
      </c>
      <c r="N290" s="144">
        <v>2</v>
      </c>
      <c r="O290" s="143">
        <f t="shared" si="66"/>
        <v>6</v>
      </c>
      <c r="P290" s="160">
        <v>600</v>
      </c>
      <c r="Q290" s="159">
        <f t="shared" si="67"/>
        <v>3600</v>
      </c>
      <c r="R290" s="140">
        <v>0</v>
      </c>
      <c r="S290" s="151">
        <f t="shared" si="71"/>
        <v>0</v>
      </c>
      <c r="T290" s="142">
        <v>6</v>
      </c>
      <c r="U290" s="151">
        <f t="shared" si="72"/>
        <v>3600</v>
      </c>
      <c r="V290" s="140">
        <v>0</v>
      </c>
      <c r="W290" s="151">
        <f t="shared" si="73"/>
        <v>0</v>
      </c>
      <c r="X290" s="142">
        <v>0</v>
      </c>
      <c r="Y290" s="151">
        <f t="shared" si="74"/>
        <v>0</v>
      </c>
      <c r="Z290" s="146"/>
      <c r="AA290" s="155">
        <f t="shared" si="75"/>
        <v>6</v>
      </c>
      <c r="AB290" s="155">
        <f t="shared" si="69"/>
        <v>0</v>
      </c>
      <c r="AC290" s="149">
        <f t="shared" si="70"/>
        <v>1.5</v>
      </c>
      <c r="AD290" s="156">
        <f t="shared" si="68"/>
        <v>900</v>
      </c>
      <c r="AG290" s="149">
        <v>3</v>
      </c>
      <c r="AH290" s="149">
        <v>1800</v>
      </c>
      <c r="AI290" s="150" t="s">
        <v>1352</v>
      </c>
      <c r="AJ290" s="206">
        <f t="shared" si="65"/>
        <v>3.5999999999999996</v>
      </c>
      <c r="AL290" s="149">
        <f t="shared" si="76"/>
        <v>0</v>
      </c>
    </row>
    <row r="291" spans="1:38" ht="15">
      <c r="A291" s="140">
        <v>10949</v>
      </c>
      <c r="B291" s="140">
        <v>273</v>
      </c>
      <c r="C291" s="146"/>
      <c r="D291" s="147"/>
      <c r="E291" s="191" t="s">
        <v>536</v>
      </c>
      <c r="F291" s="153">
        <v>1</v>
      </c>
      <c r="G291" s="154" t="s">
        <v>1245</v>
      </c>
      <c r="H291" s="140">
        <v>1000</v>
      </c>
      <c r="I291" s="140" t="s">
        <v>376</v>
      </c>
      <c r="J291" s="140">
        <v>52</v>
      </c>
      <c r="K291" s="142">
        <v>58</v>
      </c>
      <c r="L291" s="142">
        <v>44.400000000000006</v>
      </c>
      <c r="M291" s="143">
        <v>55</v>
      </c>
      <c r="N291" s="144">
        <v>15</v>
      </c>
      <c r="O291" s="143">
        <f t="shared" si="66"/>
        <v>40</v>
      </c>
      <c r="P291" s="163">
        <v>481.5</v>
      </c>
      <c r="Q291" s="159">
        <f t="shared" si="67"/>
        <v>19260</v>
      </c>
      <c r="R291" s="140">
        <v>10</v>
      </c>
      <c r="S291" s="151">
        <f t="shared" si="71"/>
        <v>4815</v>
      </c>
      <c r="T291" s="142">
        <v>10</v>
      </c>
      <c r="U291" s="151">
        <f t="shared" si="72"/>
        <v>4815</v>
      </c>
      <c r="V291" s="140">
        <v>10</v>
      </c>
      <c r="W291" s="151">
        <f t="shared" si="73"/>
        <v>4815</v>
      </c>
      <c r="X291" s="142">
        <v>10</v>
      </c>
      <c r="Y291" s="151">
        <f t="shared" si="74"/>
        <v>4815</v>
      </c>
      <c r="Z291" s="146"/>
      <c r="AA291" s="155">
        <f t="shared" si="75"/>
        <v>40</v>
      </c>
      <c r="AB291" s="155">
        <f t="shared" si="69"/>
        <v>0</v>
      </c>
      <c r="AC291" s="149">
        <f t="shared" si="70"/>
        <v>10</v>
      </c>
      <c r="AD291" s="156">
        <f t="shared" si="68"/>
        <v>4815</v>
      </c>
      <c r="AG291" s="149">
        <v>37</v>
      </c>
      <c r="AH291" s="149">
        <v>17815.5</v>
      </c>
      <c r="AI291" s="150" t="s">
        <v>1352</v>
      </c>
      <c r="AJ291" s="206">
        <f t="shared" si="65"/>
        <v>44.400000000000006</v>
      </c>
      <c r="AL291" s="149">
        <f t="shared" si="76"/>
        <v>0</v>
      </c>
    </row>
    <row r="292" spans="1:38" ht="15">
      <c r="A292" s="140">
        <v>10949</v>
      </c>
      <c r="B292" s="140">
        <v>274</v>
      </c>
      <c r="C292" s="146"/>
      <c r="D292" s="147"/>
      <c r="E292" s="191" t="s">
        <v>163</v>
      </c>
      <c r="F292" s="153">
        <v>1</v>
      </c>
      <c r="G292" s="154" t="s">
        <v>1245</v>
      </c>
      <c r="H292" s="140">
        <v>500</v>
      </c>
      <c r="I292" s="140" t="s">
        <v>376</v>
      </c>
      <c r="J292" s="140">
        <v>46</v>
      </c>
      <c r="K292" s="142">
        <v>51</v>
      </c>
      <c r="L292" s="142">
        <v>22.799999999999997</v>
      </c>
      <c r="M292" s="143">
        <v>40</v>
      </c>
      <c r="N292" s="144">
        <v>10</v>
      </c>
      <c r="O292" s="143">
        <f t="shared" si="66"/>
        <v>30</v>
      </c>
      <c r="P292" s="140">
        <v>175.58</v>
      </c>
      <c r="Q292" s="159">
        <f t="shared" si="67"/>
        <v>5267.400000000001</v>
      </c>
      <c r="R292" s="140">
        <v>0</v>
      </c>
      <c r="S292" s="151">
        <f t="shared" si="71"/>
        <v>0</v>
      </c>
      <c r="T292" s="142">
        <v>10</v>
      </c>
      <c r="U292" s="151">
        <f t="shared" si="72"/>
        <v>1755.8000000000002</v>
      </c>
      <c r="V292" s="140">
        <v>10</v>
      </c>
      <c r="W292" s="151">
        <f t="shared" si="73"/>
        <v>1755.8000000000002</v>
      </c>
      <c r="X292" s="142">
        <v>10</v>
      </c>
      <c r="Y292" s="151">
        <f t="shared" si="74"/>
        <v>1755.8000000000002</v>
      </c>
      <c r="Z292" s="146"/>
      <c r="AA292" s="155">
        <f t="shared" si="75"/>
        <v>30</v>
      </c>
      <c r="AB292" s="155">
        <f t="shared" si="69"/>
        <v>0</v>
      </c>
      <c r="AC292" s="149">
        <f t="shared" si="70"/>
        <v>7.5</v>
      </c>
      <c r="AD292" s="156">
        <f t="shared" si="68"/>
        <v>1316.8500000000001</v>
      </c>
      <c r="AG292" s="149">
        <v>19</v>
      </c>
      <c r="AH292" s="149">
        <v>3336.0199999999995</v>
      </c>
      <c r="AI292" s="150" t="s">
        <v>1352</v>
      </c>
      <c r="AJ292" s="206">
        <f t="shared" si="65"/>
        <v>22.799999999999997</v>
      </c>
      <c r="AL292" s="149">
        <f t="shared" si="76"/>
        <v>0</v>
      </c>
    </row>
    <row r="293" spans="1:38" ht="15" customHeight="1">
      <c r="A293" s="140">
        <v>10949</v>
      </c>
      <c r="B293" s="140">
        <v>275</v>
      </c>
      <c r="C293" s="146" t="s">
        <v>986</v>
      </c>
      <c r="D293" s="147" t="s">
        <v>985</v>
      </c>
      <c r="E293" s="191" t="s">
        <v>164</v>
      </c>
      <c r="F293" s="153">
        <v>1</v>
      </c>
      <c r="G293" s="154" t="s">
        <v>1245</v>
      </c>
      <c r="H293" s="140">
        <v>250</v>
      </c>
      <c r="I293" s="140" t="s">
        <v>376</v>
      </c>
      <c r="J293" s="140">
        <v>4</v>
      </c>
      <c r="K293" s="142">
        <v>0</v>
      </c>
      <c r="L293" s="142">
        <v>0</v>
      </c>
      <c r="M293" s="143">
        <v>2</v>
      </c>
      <c r="N293" s="144">
        <v>1</v>
      </c>
      <c r="O293" s="143">
        <f t="shared" si="66"/>
        <v>1</v>
      </c>
      <c r="P293" s="140">
        <v>175</v>
      </c>
      <c r="Q293" s="159">
        <f t="shared" si="67"/>
        <v>175</v>
      </c>
      <c r="R293" s="137">
        <v>0</v>
      </c>
      <c r="S293" s="151">
        <f t="shared" si="71"/>
        <v>0</v>
      </c>
      <c r="T293" s="142">
        <v>0</v>
      </c>
      <c r="U293" s="151">
        <f t="shared" si="72"/>
        <v>0</v>
      </c>
      <c r="V293" s="140">
        <v>1</v>
      </c>
      <c r="W293" s="151">
        <f t="shared" si="73"/>
        <v>175</v>
      </c>
      <c r="X293" s="142">
        <v>0</v>
      </c>
      <c r="Y293" s="151">
        <f t="shared" si="74"/>
        <v>0</v>
      </c>
      <c r="Z293" s="146"/>
      <c r="AA293" s="155">
        <f t="shared" si="75"/>
        <v>1</v>
      </c>
      <c r="AB293" s="155">
        <f t="shared" si="69"/>
        <v>0</v>
      </c>
      <c r="AC293" s="149">
        <f t="shared" si="70"/>
        <v>0.25</v>
      </c>
      <c r="AD293" s="156">
        <f t="shared" si="68"/>
        <v>43.75</v>
      </c>
      <c r="AI293" s="150" t="s">
        <v>1352</v>
      </c>
      <c r="AJ293" s="206">
        <f t="shared" si="65"/>
        <v>0</v>
      </c>
      <c r="AL293" s="149">
        <f t="shared" si="76"/>
        <v>0</v>
      </c>
    </row>
    <row r="294" spans="1:38" ht="15">
      <c r="A294" s="140">
        <v>10949</v>
      </c>
      <c r="B294" s="140">
        <v>276</v>
      </c>
      <c r="C294" s="146" t="s">
        <v>1194</v>
      </c>
      <c r="D294" s="147" t="s">
        <v>1193</v>
      </c>
      <c r="E294" s="191" t="s">
        <v>165</v>
      </c>
      <c r="F294" s="153">
        <v>1</v>
      </c>
      <c r="G294" s="154" t="s">
        <v>1245</v>
      </c>
      <c r="H294" s="140">
        <v>500</v>
      </c>
      <c r="I294" s="140" t="s">
        <v>376</v>
      </c>
      <c r="J294" s="140">
        <v>128</v>
      </c>
      <c r="K294" s="142">
        <v>143</v>
      </c>
      <c r="L294" s="142">
        <v>130.8</v>
      </c>
      <c r="M294" s="143">
        <v>140</v>
      </c>
      <c r="N294" s="144">
        <v>0</v>
      </c>
      <c r="O294" s="143">
        <f t="shared" si="66"/>
        <v>140</v>
      </c>
      <c r="P294" s="140">
        <v>125</v>
      </c>
      <c r="Q294" s="159">
        <f t="shared" si="67"/>
        <v>17500</v>
      </c>
      <c r="R294" s="140">
        <v>40</v>
      </c>
      <c r="S294" s="151">
        <f t="shared" si="71"/>
        <v>5000</v>
      </c>
      <c r="T294" s="142">
        <v>30</v>
      </c>
      <c r="U294" s="151">
        <f t="shared" si="72"/>
        <v>3750</v>
      </c>
      <c r="V294" s="140">
        <v>40</v>
      </c>
      <c r="W294" s="151">
        <f t="shared" si="73"/>
        <v>5000</v>
      </c>
      <c r="X294" s="142">
        <v>30</v>
      </c>
      <c r="Y294" s="151">
        <f t="shared" si="74"/>
        <v>3750</v>
      </c>
      <c r="Z294" s="146"/>
      <c r="AA294" s="155">
        <f t="shared" si="75"/>
        <v>140</v>
      </c>
      <c r="AB294" s="155">
        <f t="shared" si="69"/>
        <v>0</v>
      </c>
      <c r="AC294" s="149">
        <f t="shared" si="70"/>
        <v>35</v>
      </c>
      <c r="AD294" s="156">
        <f t="shared" si="68"/>
        <v>4375</v>
      </c>
      <c r="AG294" s="149">
        <v>109</v>
      </c>
      <c r="AH294" s="149">
        <v>13407</v>
      </c>
      <c r="AI294" s="150" t="s">
        <v>1356</v>
      </c>
      <c r="AJ294" s="206">
        <f t="shared" si="65"/>
        <v>130.8</v>
      </c>
      <c r="AL294" s="149">
        <f t="shared" si="76"/>
        <v>0</v>
      </c>
    </row>
    <row r="295" spans="1:38" ht="15">
      <c r="A295" s="140">
        <v>10949</v>
      </c>
      <c r="B295" s="140">
        <v>277</v>
      </c>
      <c r="C295" s="146" t="s">
        <v>989</v>
      </c>
      <c r="D295" s="147" t="s">
        <v>987</v>
      </c>
      <c r="E295" s="191" t="s">
        <v>166</v>
      </c>
      <c r="F295" s="153">
        <v>1</v>
      </c>
      <c r="G295" s="154" t="s">
        <v>1245</v>
      </c>
      <c r="H295" s="140">
        <v>500</v>
      </c>
      <c r="I295" s="140" t="s">
        <v>376</v>
      </c>
      <c r="J295" s="140">
        <v>55</v>
      </c>
      <c r="K295" s="142">
        <v>56</v>
      </c>
      <c r="L295" s="142">
        <v>14.399999999999999</v>
      </c>
      <c r="M295" s="143">
        <v>50</v>
      </c>
      <c r="N295" s="144">
        <v>20</v>
      </c>
      <c r="O295" s="143">
        <f t="shared" si="66"/>
        <v>30</v>
      </c>
      <c r="P295" s="140">
        <v>250</v>
      </c>
      <c r="Q295" s="159">
        <f t="shared" si="67"/>
        <v>7500</v>
      </c>
      <c r="R295" s="140">
        <v>0</v>
      </c>
      <c r="S295" s="151">
        <f t="shared" si="71"/>
        <v>0</v>
      </c>
      <c r="T295" s="142">
        <v>10</v>
      </c>
      <c r="U295" s="151">
        <f t="shared" si="72"/>
        <v>2500</v>
      </c>
      <c r="V295" s="140">
        <v>10</v>
      </c>
      <c r="W295" s="151">
        <f t="shared" si="73"/>
        <v>2500</v>
      </c>
      <c r="X295" s="142">
        <v>10</v>
      </c>
      <c r="Y295" s="151">
        <f t="shared" si="74"/>
        <v>2500</v>
      </c>
      <c r="Z295" s="146"/>
      <c r="AA295" s="155">
        <f t="shared" si="75"/>
        <v>30</v>
      </c>
      <c r="AB295" s="155">
        <f t="shared" si="69"/>
        <v>0</v>
      </c>
      <c r="AC295" s="149">
        <f t="shared" si="70"/>
        <v>7.5</v>
      </c>
      <c r="AD295" s="156">
        <f t="shared" si="68"/>
        <v>1875</v>
      </c>
      <c r="AG295" s="149">
        <v>12</v>
      </c>
      <c r="AH295" s="149">
        <v>3000</v>
      </c>
      <c r="AI295" s="150" t="s">
        <v>1355</v>
      </c>
      <c r="AJ295" s="206">
        <f t="shared" si="65"/>
        <v>14.399999999999999</v>
      </c>
      <c r="AL295" s="149">
        <f t="shared" si="76"/>
        <v>0</v>
      </c>
    </row>
    <row r="296" spans="1:38" ht="15">
      <c r="A296" s="140">
        <v>10949</v>
      </c>
      <c r="B296" s="140">
        <v>278</v>
      </c>
      <c r="C296" s="146" t="s">
        <v>988</v>
      </c>
      <c r="D296" s="147" t="s">
        <v>987</v>
      </c>
      <c r="E296" s="191" t="s">
        <v>167</v>
      </c>
      <c r="F296" s="153">
        <v>1</v>
      </c>
      <c r="G296" s="154" t="s">
        <v>1245</v>
      </c>
      <c r="H296" s="140">
        <v>500</v>
      </c>
      <c r="I296" s="140" t="s">
        <v>376</v>
      </c>
      <c r="J296" s="140">
        <v>19</v>
      </c>
      <c r="K296" s="142">
        <v>16</v>
      </c>
      <c r="L296" s="142">
        <v>0</v>
      </c>
      <c r="M296" s="143">
        <v>12</v>
      </c>
      <c r="N296" s="144">
        <v>15</v>
      </c>
      <c r="O296" s="143">
        <v>4</v>
      </c>
      <c r="P296" s="140">
        <v>550</v>
      </c>
      <c r="Q296" s="159">
        <f t="shared" si="67"/>
        <v>2200</v>
      </c>
      <c r="R296" s="140">
        <v>0</v>
      </c>
      <c r="S296" s="151">
        <f t="shared" si="71"/>
        <v>0</v>
      </c>
      <c r="T296" s="142">
        <v>4</v>
      </c>
      <c r="U296" s="151">
        <f t="shared" si="72"/>
        <v>2200</v>
      </c>
      <c r="V296" s="140">
        <v>0</v>
      </c>
      <c r="W296" s="151">
        <f t="shared" si="73"/>
        <v>0</v>
      </c>
      <c r="X296" s="142">
        <v>0</v>
      </c>
      <c r="Y296" s="151">
        <f t="shared" si="74"/>
        <v>0</v>
      </c>
      <c r="Z296" s="146"/>
      <c r="AA296" s="155">
        <f t="shared" si="75"/>
        <v>4</v>
      </c>
      <c r="AB296" s="155">
        <f t="shared" si="69"/>
        <v>0</v>
      </c>
      <c r="AC296" s="149">
        <f t="shared" si="70"/>
        <v>1</v>
      </c>
      <c r="AD296" s="156">
        <f t="shared" si="68"/>
        <v>550</v>
      </c>
      <c r="AI296" s="150" t="s">
        <v>1300</v>
      </c>
      <c r="AJ296" s="206">
        <f t="shared" si="65"/>
        <v>0</v>
      </c>
      <c r="AL296" s="149">
        <f t="shared" si="76"/>
        <v>0</v>
      </c>
    </row>
    <row r="297" spans="1:38" ht="15">
      <c r="A297" s="140">
        <v>10949</v>
      </c>
      <c r="B297" s="140">
        <v>279</v>
      </c>
      <c r="C297" s="212">
        <v>339374</v>
      </c>
      <c r="D297" s="147" t="s">
        <v>1331</v>
      </c>
      <c r="E297" s="191" t="s">
        <v>168</v>
      </c>
      <c r="F297" s="153">
        <v>1</v>
      </c>
      <c r="G297" s="154" t="s">
        <v>1245</v>
      </c>
      <c r="H297" s="140">
        <v>1000</v>
      </c>
      <c r="I297" s="140" t="s">
        <v>376</v>
      </c>
      <c r="J297" s="140">
        <v>2</v>
      </c>
      <c r="K297" s="142">
        <v>0</v>
      </c>
      <c r="L297" s="142">
        <v>0</v>
      </c>
      <c r="M297" s="143">
        <v>1</v>
      </c>
      <c r="N297" s="144">
        <v>0</v>
      </c>
      <c r="O297" s="143">
        <f t="shared" si="66"/>
        <v>1</v>
      </c>
      <c r="P297" s="140">
        <v>1605</v>
      </c>
      <c r="Q297" s="159">
        <f t="shared" si="67"/>
        <v>1605</v>
      </c>
      <c r="R297" s="140">
        <v>1</v>
      </c>
      <c r="S297" s="151">
        <f t="shared" si="71"/>
        <v>1605</v>
      </c>
      <c r="T297" s="142">
        <v>0</v>
      </c>
      <c r="U297" s="151">
        <f t="shared" si="72"/>
        <v>0</v>
      </c>
      <c r="V297" s="140">
        <v>0</v>
      </c>
      <c r="W297" s="151">
        <f t="shared" si="73"/>
        <v>0</v>
      </c>
      <c r="X297" s="142">
        <v>0</v>
      </c>
      <c r="Y297" s="151">
        <f t="shared" si="74"/>
        <v>0</v>
      </c>
      <c r="Z297" s="146"/>
      <c r="AA297" s="155">
        <f t="shared" si="75"/>
        <v>1</v>
      </c>
      <c r="AB297" s="155">
        <f t="shared" si="69"/>
        <v>0</v>
      </c>
      <c r="AC297" s="149">
        <f t="shared" si="70"/>
        <v>0.25</v>
      </c>
      <c r="AD297" s="156">
        <f t="shared" si="68"/>
        <v>401.25</v>
      </c>
      <c r="AJ297" s="206">
        <f t="shared" si="65"/>
        <v>0</v>
      </c>
      <c r="AL297" s="149">
        <f t="shared" si="76"/>
        <v>0</v>
      </c>
    </row>
    <row r="298" spans="1:38" ht="15">
      <c r="A298" s="130" t="s">
        <v>1199</v>
      </c>
      <c r="B298" s="130" t="s">
        <v>2</v>
      </c>
      <c r="C298" s="130" t="s">
        <v>1200</v>
      </c>
      <c r="D298" s="198" t="s">
        <v>1201</v>
      </c>
      <c r="E298" s="134" t="s">
        <v>1285</v>
      </c>
      <c r="F298" s="134" t="s">
        <v>1295</v>
      </c>
      <c r="G298" s="134" t="s">
        <v>1202</v>
      </c>
      <c r="H298" s="130" t="s">
        <v>1579</v>
      </c>
      <c r="I298" s="130" t="s">
        <v>1203</v>
      </c>
      <c r="J298" s="199"/>
      <c r="K298" s="131" t="s">
        <v>1205</v>
      </c>
      <c r="L298" s="132"/>
      <c r="M298" s="133" t="s">
        <v>0</v>
      </c>
      <c r="N298" s="134" t="s">
        <v>1214</v>
      </c>
      <c r="O298" s="133" t="s">
        <v>0</v>
      </c>
      <c r="P298" s="130" t="s">
        <v>1390</v>
      </c>
      <c r="Q298" s="200" t="s">
        <v>1206</v>
      </c>
      <c r="R298" s="201" t="s">
        <v>1289</v>
      </c>
      <c r="S298" s="132"/>
      <c r="T298" s="201" t="s">
        <v>1290</v>
      </c>
      <c r="U298" s="202"/>
      <c r="V298" s="201" t="s">
        <v>1291</v>
      </c>
      <c r="W298" s="132"/>
      <c r="X298" s="201" t="s">
        <v>1292</v>
      </c>
      <c r="Y298" s="202"/>
      <c r="Z298" s="203" t="s">
        <v>608</v>
      </c>
      <c r="AA298" s="204"/>
      <c r="AB298" s="204"/>
      <c r="AC298" s="149" t="s">
        <v>1318</v>
      </c>
      <c r="AD298" s="149" t="s">
        <v>1389</v>
      </c>
      <c r="AE298" s="205" t="s">
        <v>3</v>
      </c>
      <c r="AF298" s="205" t="s">
        <v>1349</v>
      </c>
      <c r="AG298" s="149" t="s">
        <v>1297</v>
      </c>
      <c r="AH298" s="149" t="s">
        <v>6</v>
      </c>
      <c r="AI298" s="150" t="s">
        <v>1307</v>
      </c>
      <c r="AJ298" s="206" t="s">
        <v>1303</v>
      </c>
      <c r="AK298" s="149" t="s">
        <v>4</v>
      </c>
      <c r="AL298" s="149" t="s">
        <v>1304</v>
      </c>
    </row>
    <row r="299" spans="1:35" ht="15">
      <c r="A299" s="135"/>
      <c r="B299" s="139"/>
      <c r="C299" s="207"/>
      <c r="D299" s="208"/>
      <c r="E299" s="136"/>
      <c r="F299" s="136" t="s">
        <v>1294</v>
      </c>
      <c r="G299" s="136"/>
      <c r="H299" s="139" t="s">
        <v>1204</v>
      </c>
      <c r="I299" s="136" t="s">
        <v>1204</v>
      </c>
      <c r="J299" s="136">
        <v>2562</v>
      </c>
      <c r="K299" s="136">
        <v>2563</v>
      </c>
      <c r="L299" s="137">
        <v>2564</v>
      </c>
      <c r="M299" s="138" t="s">
        <v>1537</v>
      </c>
      <c r="N299" s="136" t="s">
        <v>4</v>
      </c>
      <c r="O299" s="138" t="s">
        <v>1538</v>
      </c>
      <c r="P299" s="139" t="s">
        <v>1286</v>
      </c>
      <c r="Q299" s="209" t="s">
        <v>1391</v>
      </c>
      <c r="R299" s="210" t="s">
        <v>5</v>
      </c>
      <c r="S299" s="139" t="s">
        <v>1208</v>
      </c>
      <c r="T299" s="139" t="s">
        <v>5</v>
      </c>
      <c r="U299" s="211" t="s">
        <v>1208</v>
      </c>
      <c r="V299" s="210" t="s">
        <v>5</v>
      </c>
      <c r="W299" s="139" t="s">
        <v>1208</v>
      </c>
      <c r="X299" s="139" t="s">
        <v>5</v>
      </c>
      <c r="Y299" s="211" t="s">
        <v>1208</v>
      </c>
      <c r="Z299" s="207"/>
      <c r="AA299" s="197"/>
      <c r="AB299" s="197"/>
      <c r="AG299" s="149" t="s">
        <v>1494</v>
      </c>
      <c r="AH299" s="149" t="s">
        <v>1207</v>
      </c>
      <c r="AI299" s="150" t="s">
        <v>1308</v>
      </c>
    </row>
    <row r="300" spans="1:38" ht="15">
      <c r="A300" s="140">
        <v>10949</v>
      </c>
      <c r="B300" s="140">
        <v>280</v>
      </c>
      <c r="C300" s="146" t="s">
        <v>991</v>
      </c>
      <c r="D300" s="147" t="s">
        <v>990</v>
      </c>
      <c r="E300" s="191" t="s">
        <v>169</v>
      </c>
      <c r="F300" s="153">
        <v>1</v>
      </c>
      <c r="G300" s="154" t="s">
        <v>1248</v>
      </c>
      <c r="H300" s="140">
        <v>1</v>
      </c>
      <c r="I300" s="140" t="s">
        <v>392</v>
      </c>
      <c r="J300" s="140">
        <v>540</v>
      </c>
      <c r="K300" s="142">
        <v>558</v>
      </c>
      <c r="L300" s="142">
        <v>502.79999999999995</v>
      </c>
      <c r="M300" s="143">
        <v>550</v>
      </c>
      <c r="N300" s="144">
        <v>100</v>
      </c>
      <c r="O300" s="143">
        <f t="shared" si="66"/>
        <v>450</v>
      </c>
      <c r="P300" s="140">
        <v>585</v>
      </c>
      <c r="Q300" s="159">
        <f t="shared" si="67"/>
        <v>263250</v>
      </c>
      <c r="R300" s="140">
        <v>130</v>
      </c>
      <c r="S300" s="151">
        <f t="shared" si="71"/>
        <v>76050</v>
      </c>
      <c r="T300" s="142">
        <v>100</v>
      </c>
      <c r="U300" s="151">
        <f t="shared" si="72"/>
        <v>58500</v>
      </c>
      <c r="V300" s="140">
        <v>120</v>
      </c>
      <c r="W300" s="151">
        <f t="shared" si="73"/>
        <v>70200</v>
      </c>
      <c r="X300" s="142">
        <v>100</v>
      </c>
      <c r="Y300" s="151">
        <f t="shared" si="74"/>
        <v>58500</v>
      </c>
      <c r="Z300" s="146"/>
      <c r="AA300" s="155">
        <f t="shared" si="75"/>
        <v>450</v>
      </c>
      <c r="AB300" s="155">
        <f t="shared" si="69"/>
        <v>0</v>
      </c>
      <c r="AC300" s="149">
        <f t="shared" si="70"/>
        <v>112.5</v>
      </c>
      <c r="AD300" s="156">
        <f t="shared" si="68"/>
        <v>65812.5</v>
      </c>
      <c r="AG300" s="149">
        <v>419</v>
      </c>
      <c r="AH300" s="149">
        <v>217400</v>
      </c>
      <c r="AI300" s="150" t="s">
        <v>1301</v>
      </c>
      <c r="AJ300" s="206">
        <f t="shared" si="65"/>
        <v>502.79999999999995</v>
      </c>
      <c r="AL300" s="149">
        <f t="shared" si="76"/>
        <v>0</v>
      </c>
    </row>
    <row r="301" spans="1:38" ht="15">
      <c r="A301" s="140">
        <v>10949</v>
      </c>
      <c r="B301" s="140">
        <v>281</v>
      </c>
      <c r="C301" s="146" t="s">
        <v>995</v>
      </c>
      <c r="D301" s="147" t="s">
        <v>994</v>
      </c>
      <c r="E301" s="191" t="s">
        <v>170</v>
      </c>
      <c r="F301" s="153">
        <v>1</v>
      </c>
      <c r="G301" s="154" t="s">
        <v>1248</v>
      </c>
      <c r="H301" s="140">
        <v>1</v>
      </c>
      <c r="I301" s="140" t="s">
        <v>392</v>
      </c>
      <c r="J301" s="140">
        <v>2920</v>
      </c>
      <c r="K301" s="142">
        <v>2464</v>
      </c>
      <c r="L301" s="142">
        <v>2280</v>
      </c>
      <c r="M301" s="143">
        <v>2500</v>
      </c>
      <c r="N301" s="144">
        <v>500</v>
      </c>
      <c r="O301" s="143">
        <f t="shared" si="66"/>
        <v>2000</v>
      </c>
      <c r="P301" s="140">
        <v>260</v>
      </c>
      <c r="Q301" s="159">
        <f t="shared" si="67"/>
        <v>520000</v>
      </c>
      <c r="R301" s="140">
        <v>500</v>
      </c>
      <c r="S301" s="151">
        <f t="shared" si="71"/>
        <v>130000</v>
      </c>
      <c r="T301" s="142">
        <v>500</v>
      </c>
      <c r="U301" s="151">
        <f t="shared" si="72"/>
        <v>130000</v>
      </c>
      <c r="V301" s="140">
        <v>500</v>
      </c>
      <c r="W301" s="151">
        <f t="shared" si="73"/>
        <v>130000</v>
      </c>
      <c r="X301" s="142">
        <v>500</v>
      </c>
      <c r="Y301" s="151">
        <f t="shared" si="74"/>
        <v>130000</v>
      </c>
      <c r="Z301" s="146"/>
      <c r="AA301" s="155">
        <f t="shared" si="75"/>
        <v>2000</v>
      </c>
      <c r="AB301" s="155">
        <f t="shared" si="69"/>
        <v>0</v>
      </c>
      <c r="AC301" s="149">
        <f t="shared" si="70"/>
        <v>500</v>
      </c>
      <c r="AD301" s="156">
        <f t="shared" si="68"/>
        <v>130000</v>
      </c>
      <c r="AG301" s="149">
        <v>1900</v>
      </c>
      <c r="AH301" s="149">
        <v>454706.4999999997</v>
      </c>
      <c r="AI301" s="150" t="s">
        <v>1301</v>
      </c>
      <c r="AJ301" s="206">
        <f t="shared" si="65"/>
        <v>2280</v>
      </c>
      <c r="AL301" s="149">
        <f t="shared" si="76"/>
        <v>0</v>
      </c>
    </row>
    <row r="302" spans="1:38" ht="15">
      <c r="A302" s="140">
        <v>10949</v>
      </c>
      <c r="B302" s="140">
        <v>282</v>
      </c>
      <c r="C302" s="146" t="s">
        <v>997</v>
      </c>
      <c r="D302" s="147" t="s">
        <v>996</v>
      </c>
      <c r="E302" s="191" t="s">
        <v>171</v>
      </c>
      <c r="F302" s="174">
        <v>1</v>
      </c>
      <c r="G302" s="175" t="s">
        <v>1245</v>
      </c>
      <c r="H302" s="168">
        <v>100</v>
      </c>
      <c r="I302" s="168" t="s">
        <v>376</v>
      </c>
      <c r="J302" s="168">
        <v>688</v>
      </c>
      <c r="K302" s="169">
        <v>266</v>
      </c>
      <c r="L302" s="142">
        <v>0</v>
      </c>
      <c r="M302" s="143">
        <v>0</v>
      </c>
      <c r="N302" s="173">
        <v>0</v>
      </c>
      <c r="O302" s="143">
        <f t="shared" si="66"/>
        <v>0</v>
      </c>
      <c r="P302" s="168">
        <v>34</v>
      </c>
      <c r="Q302" s="159">
        <f t="shared" si="67"/>
        <v>0</v>
      </c>
      <c r="R302" s="140">
        <v>0</v>
      </c>
      <c r="S302" s="151">
        <f t="shared" si="71"/>
        <v>0</v>
      </c>
      <c r="T302" s="142">
        <v>0</v>
      </c>
      <c r="U302" s="151">
        <f t="shared" si="72"/>
        <v>0</v>
      </c>
      <c r="V302" s="140">
        <v>0</v>
      </c>
      <c r="W302" s="151">
        <f t="shared" si="73"/>
        <v>0</v>
      </c>
      <c r="X302" s="142">
        <v>0</v>
      </c>
      <c r="Y302" s="151">
        <f t="shared" si="74"/>
        <v>0</v>
      </c>
      <c r="Z302" s="146"/>
      <c r="AA302" s="155">
        <f t="shared" si="75"/>
        <v>0</v>
      </c>
      <c r="AB302" s="155">
        <f t="shared" si="69"/>
        <v>0</v>
      </c>
      <c r="AC302" s="149">
        <f t="shared" si="70"/>
        <v>0</v>
      </c>
      <c r="AD302" s="156">
        <f t="shared" si="68"/>
        <v>0</v>
      </c>
      <c r="AI302" s="150" t="s">
        <v>1356</v>
      </c>
      <c r="AJ302" s="206">
        <f t="shared" si="65"/>
        <v>0</v>
      </c>
      <c r="AL302" s="149">
        <f t="shared" si="76"/>
        <v>0</v>
      </c>
    </row>
    <row r="303" spans="1:38" ht="15">
      <c r="A303" s="140">
        <v>10949</v>
      </c>
      <c r="B303" s="140">
        <v>283</v>
      </c>
      <c r="C303" s="146" t="s">
        <v>999</v>
      </c>
      <c r="D303" s="147" t="s">
        <v>998</v>
      </c>
      <c r="E303" s="191" t="s">
        <v>172</v>
      </c>
      <c r="F303" s="153">
        <v>1</v>
      </c>
      <c r="G303" s="154" t="s">
        <v>1248</v>
      </c>
      <c r="H303" s="140">
        <v>1</v>
      </c>
      <c r="I303" s="140" t="s">
        <v>389</v>
      </c>
      <c r="J303" s="140">
        <v>4330</v>
      </c>
      <c r="K303" s="142">
        <v>2210</v>
      </c>
      <c r="L303" s="142">
        <v>0</v>
      </c>
      <c r="M303" s="143">
        <v>0</v>
      </c>
      <c r="N303" s="144">
        <v>0</v>
      </c>
      <c r="O303" s="143">
        <f t="shared" si="66"/>
        <v>0</v>
      </c>
      <c r="P303" s="140">
        <v>6.396067</v>
      </c>
      <c r="Q303" s="159">
        <f t="shared" si="67"/>
        <v>0</v>
      </c>
      <c r="R303" s="140">
        <v>0</v>
      </c>
      <c r="S303" s="151">
        <f t="shared" si="71"/>
        <v>0</v>
      </c>
      <c r="T303" s="142">
        <v>0</v>
      </c>
      <c r="U303" s="151">
        <f t="shared" si="72"/>
        <v>0</v>
      </c>
      <c r="V303" s="140">
        <v>0</v>
      </c>
      <c r="W303" s="151">
        <f t="shared" si="73"/>
        <v>0</v>
      </c>
      <c r="X303" s="142">
        <v>0</v>
      </c>
      <c r="Y303" s="151">
        <f t="shared" si="74"/>
        <v>0</v>
      </c>
      <c r="Z303" s="146"/>
      <c r="AA303" s="155">
        <f t="shared" si="75"/>
        <v>0</v>
      </c>
      <c r="AB303" s="155">
        <f t="shared" si="69"/>
        <v>0</v>
      </c>
      <c r="AC303" s="149">
        <f t="shared" si="70"/>
        <v>0</v>
      </c>
      <c r="AD303" s="156">
        <f t="shared" si="68"/>
        <v>0</v>
      </c>
      <c r="AI303" s="150" t="s">
        <v>1356</v>
      </c>
      <c r="AJ303" s="206">
        <f t="shared" si="65"/>
        <v>0</v>
      </c>
      <c r="AL303" s="149">
        <f t="shared" si="76"/>
        <v>0</v>
      </c>
    </row>
    <row r="304" spans="1:38" ht="15">
      <c r="A304" s="140">
        <v>10949</v>
      </c>
      <c r="B304" s="140">
        <v>284</v>
      </c>
      <c r="C304" s="146">
        <v>629505</v>
      </c>
      <c r="D304" s="147" t="s">
        <v>1000</v>
      </c>
      <c r="E304" s="191" t="s">
        <v>173</v>
      </c>
      <c r="F304" s="153">
        <v>1</v>
      </c>
      <c r="G304" s="154" t="s">
        <v>1248</v>
      </c>
      <c r="H304" s="140">
        <v>1</v>
      </c>
      <c r="I304" s="140" t="s">
        <v>392</v>
      </c>
      <c r="J304" s="140">
        <v>79</v>
      </c>
      <c r="K304" s="142">
        <v>49</v>
      </c>
      <c r="L304" s="142">
        <v>25.200000000000003</v>
      </c>
      <c r="M304" s="143">
        <v>50</v>
      </c>
      <c r="N304" s="144">
        <v>30</v>
      </c>
      <c r="O304" s="143">
        <f t="shared" si="66"/>
        <v>20</v>
      </c>
      <c r="P304" s="140">
        <v>62</v>
      </c>
      <c r="Q304" s="159">
        <f t="shared" si="67"/>
        <v>1240</v>
      </c>
      <c r="R304" s="140">
        <v>0</v>
      </c>
      <c r="S304" s="151">
        <f t="shared" si="71"/>
        <v>0</v>
      </c>
      <c r="T304" s="142">
        <v>0</v>
      </c>
      <c r="U304" s="151">
        <f t="shared" si="72"/>
        <v>0</v>
      </c>
      <c r="V304" s="140">
        <v>20</v>
      </c>
      <c r="W304" s="151">
        <f t="shared" si="73"/>
        <v>1240</v>
      </c>
      <c r="X304" s="142">
        <v>0</v>
      </c>
      <c r="Y304" s="151">
        <f t="shared" si="74"/>
        <v>0</v>
      </c>
      <c r="Z304" s="146"/>
      <c r="AA304" s="155">
        <f t="shared" si="75"/>
        <v>20</v>
      </c>
      <c r="AB304" s="155">
        <f t="shared" si="69"/>
        <v>0</v>
      </c>
      <c r="AC304" s="149">
        <f t="shared" si="70"/>
        <v>5</v>
      </c>
      <c r="AD304" s="156">
        <f t="shared" si="68"/>
        <v>310</v>
      </c>
      <c r="AG304" s="149">
        <v>21</v>
      </c>
      <c r="AH304" s="149">
        <v>1302</v>
      </c>
      <c r="AI304" s="150" t="s">
        <v>1300</v>
      </c>
      <c r="AJ304" s="206">
        <f t="shared" si="65"/>
        <v>25.200000000000003</v>
      </c>
      <c r="AL304" s="149">
        <f t="shared" si="76"/>
        <v>0</v>
      </c>
    </row>
    <row r="305" spans="1:38" ht="15">
      <c r="A305" s="140">
        <v>10949</v>
      </c>
      <c r="B305" s="140">
        <v>285</v>
      </c>
      <c r="C305" s="146" t="s">
        <v>1002</v>
      </c>
      <c r="D305" s="147" t="s">
        <v>1001</v>
      </c>
      <c r="E305" s="191" t="s">
        <v>174</v>
      </c>
      <c r="F305" s="153">
        <v>1</v>
      </c>
      <c r="G305" s="154" t="s">
        <v>1252</v>
      </c>
      <c r="H305" s="140">
        <v>100</v>
      </c>
      <c r="I305" s="140" t="s">
        <v>1253</v>
      </c>
      <c r="J305" s="140">
        <v>112</v>
      </c>
      <c r="K305" s="142">
        <v>87</v>
      </c>
      <c r="L305" s="142">
        <v>66</v>
      </c>
      <c r="M305" s="143">
        <v>90</v>
      </c>
      <c r="N305" s="144">
        <v>50</v>
      </c>
      <c r="O305" s="143">
        <v>10</v>
      </c>
      <c r="P305" s="140">
        <v>268.8</v>
      </c>
      <c r="Q305" s="159">
        <f t="shared" si="67"/>
        <v>2688</v>
      </c>
      <c r="R305" s="137">
        <v>0</v>
      </c>
      <c r="S305" s="151">
        <f t="shared" si="71"/>
        <v>0</v>
      </c>
      <c r="T305" s="142">
        <v>5</v>
      </c>
      <c r="U305" s="151">
        <f t="shared" si="72"/>
        <v>1344</v>
      </c>
      <c r="V305" s="140">
        <v>0</v>
      </c>
      <c r="W305" s="151">
        <f t="shared" si="73"/>
        <v>0</v>
      </c>
      <c r="X305" s="142">
        <v>5</v>
      </c>
      <c r="Y305" s="151">
        <f t="shared" si="74"/>
        <v>1344</v>
      </c>
      <c r="Z305" s="146"/>
      <c r="AA305" s="155">
        <f t="shared" si="75"/>
        <v>10</v>
      </c>
      <c r="AB305" s="155">
        <f t="shared" si="69"/>
        <v>0</v>
      </c>
      <c r="AC305" s="149">
        <f t="shared" si="70"/>
        <v>2.5</v>
      </c>
      <c r="AD305" s="156">
        <f t="shared" si="68"/>
        <v>672</v>
      </c>
      <c r="AG305" s="149">
        <v>55</v>
      </c>
      <c r="AH305" s="149">
        <v>14932.4</v>
      </c>
      <c r="AI305" s="150" t="s">
        <v>1300</v>
      </c>
      <c r="AJ305" s="206">
        <f t="shared" si="65"/>
        <v>66</v>
      </c>
      <c r="AL305" s="149">
        <f t="shared" si="76"/>
        <v>0</v>
      </c>
    </row>
    <row r="306" spans="1:38" ht="15">
      <c r="A306" s="140">
        <v>10949</v>
      </c>
      <c r="B306" s="140">
        <v>286</v>
      </c>
      <c r="C306" s="146" t="s">
        <v>1004</v>
      </c>
      <c r="D306" s="147" t="s">
        <v>1003</v>
      </c>
      <c r="E306" s="191" t="s">
        <v>175</v>
      </c>
      <c r="F306" s="153">
        <v>1</v>
      </c>
      <c r="G306" s="154" t="s">
        <v>1252</v>
      </c>
      <c r="H306" s="140">
        <v>100</v>
      </c>
      <c r="I306" s="140" t="s">
        <v>1253</v>
      </c>
      <c r="J306" s="140">
        <v>55</v>
      </c>
      <c r="K306" s="142">
        <v>60</v>
      </c>
      <c r="L306" s="142">
        <v>28.799999999999997</v>
      </c>
      <c r="M306" s="143">
        <v>50</v>
      </c>
      <c r="N306" s="144">
        <v>40</v>
      </c>
      <c r="O306" s="143">
        <v>10</v>
      </c>
      <c r="P306" s="140">
        <v>352</v>
      </c>
      <c r="Q306" s="159">
        <f t="shared" si="67"/>
        <v>3520</v>
      </c>
      <c r="R306" s="140">
        <v>0</v>
      </c>
      <c r="S306" s="151">
        <f t="shared" si="71"/>
        <v>0</v>
      </c>
      <c r="T306" s="142">
        <v>5</v>
      </c>
      <c r="U306" s="151">
        <f t="shared" si="72"/>
        <v>1760</v>
      </c>
      <c r="V306" s="140">
        <v>0</v>
      </c>
      <c r="W306" s="151">
        <f t="shared" si="73"/>
        <v>0</v>
      </c>
      <c r="X306" s="142">
        <v>5</v>
      </c>
      <c r="Y306" s="151">
        <f t="shared" si="74"/>
        <v>1760</v>
      </c>
      <c r="Z306" s="146"/>
      <c r="AA306" s="155">
        <f t="shared" si="75"/>
        <v>10</v>
      </c>
      <c r="AB306" s="155">
        <f t="shared" si="69"/>
        <v>0</v>
      </c>
      <c r="AC306" s="149">
        <f t="shared" si="70"/>
        <v>2.5</v>
      </c>
      <c r="AD306" s="156">
        <f t="shared" si="68"/>
        <v>880</v>
      </c>
      <c r="AG306" s="149">
        <v>24</v>
      </c>
      <c r="AH306" s="149">
        <v>8448</v>
      </c>
      <c r="AI306" s="150" t="s">
        <v>1302</v>
      </c>
      <c r="AJ306" s="206">
        <f t="shared" si="65"/>
        <v>28.799999999999997</v>
      </c>
      <c r="AL306" s="149">
        <f t="shared" si="76"/>
        <v>0</v>
      </c>
    </row>
    <row r="307" spans="1:38" ht="15">
      <c r="A307" s="140">
        <v>10949</v>
      </c>
      <c r="B307" s="140">
        <v>287</v>
      </c>
      <c r="C307" s="146" t="s">
        <v>1006</v>
      </c>
      <c r="D307" s="147" t="s">
        <v>1005</v>
      </c>
      <c r="E307" s="191" t="s">
        <v>418</v>
      </c>
      <c r="F307" s="153">
        <v>1</v>
      </c>
      <c r="G307" s="154" t="s">
        <v>1248</v>
      </c>
      <c r="H307" s="140">
        <v>1</v>
      </c>
      <c r="I307" s="140" t="s">
        <v>388</v>
      </c>
      <c r="J307" s="140">
        <v>30</v>
      </c>
      <c r="K307" s="142">
        <v>18</v>
      </c>
      <c r="L307" s="142">
        <v>19.200000000000003</v>
      </c>
      <c r="M307" s="143">
        <v>24</v>
      </c>
      <c r="N307" s="144">
        <v>4</v>
      </c>
      <c r="O307" s="143">
        <v>20</v>
      </c>
      <c r="P307" s="140">
        <v>34</v>
      </c>
      <c r="Q307" s="159">
        <f t="shared" si="67"/>
        <v>680</v>
      </c>
      <c r="R307" s="140">
        <v>5</v>
      </c>
      <c r="S307" s="151">
        <f t="shared" si="71"/>
        <v>170</v>
      </c>
      <c r="T307" s="142">
        <v>5</v>
      </c>
      <c r="U307" s="151">
        <f t="shared" si="72"/>
        <v>170</v>
      </c>
      <c r="V307" s="140">
        <v>5</v>
      </c>
      <c r="W307" s="151">
        <f t="shared" si="73"/>
        <v>170</v>
      </c>
      <c r="X307" s="142">
        <v>5</v>
      </c>
      <c r="Y307" s="151">
        <f t="shared" si="74"/>
        <v>170</v>
      </c>
      <c r="Z307" s="146"/>
      <c r="AA307" s="155">
        <f t="shared" si="75"/>
        <v>20</v>
      </c>
      <c r="AB307" s="155">
        <f t="shared" si="69"/>
        <v>0</v>
      </c>
      <c r="AC307" s="149">
        <f t="shared" si="70"/>
        <v>5</v>
      </c>
      <c r="AD307" s="156">
        <f aca="true" t="shared" si="77" ref="AD307:AD316">Q307/4</f>
        <v>170</v>
      </c>
      <c r="AG307" s="149">
        <v>16</v>
      </c>
      <c r="AH307" s="149">
        <v>544</v>
      </c>
      <c r="AI307" s="150" t="s">
        <v>1300</v>
      </c>
      <c r="AJ307" s="206">
        <f t="shared" si="65"/>
        <v>19.200000000000003</v>
      </c>
      <c r="AL307" s="149">
        <f t="shared" si="76"/>
        <v>0</v>
      </c>
    </row>
    <row r="308" spans="1:38" ht="15">
      <c r="A308" s="140">
        <v>10949</v>
      </c>
      <c r="B308" s="140">
        <v>288</v>
      </c>
      <c r="C308" s="146" t="s">
        <v>1008</v>
      </c>
      <c r="D308" s="147" t="s">
        <v>1007</v>
      </c>
      <c r="E308" s="152" t="s">
        <v>563</v>
      </c>
      <c r="F308" s="153">
        <v>1</v>
      </c>
      <c r="G308" s="146" t="s">
        <v>1245</v>
      </c>
      <c r="H308" s="221">
        <v>60</v>
      </c>
      <c r="I308" s="221" t="s">
        <v>376</v>
      </c>
      <c r="J308" s="140">
        <v>192</v>
      </c>
      <c r="K308" s="142">
        <v>418</v>
      </c>
      <c r="L308" s="142">
        <v>446.40000000000003</v>
      </c>
      <c r="M308" s="143">
        <v>450</v>
      </c>
      <c r="N308" s="144">
        <v>50</v>
      </c>
      <c r="O308" s="143">
        <f t="shared" si="66"/>
        <v>400</v>
      </c>
      <c r="P308" s="142">
        <v>120</v>
      </c>
      <c r="Q308" s="159">
        <f t="shared" si="67"/>
        <v>48000</v>
      </c>
      <c r="R308" s="140">
        <v>100</v>
      </c>
      <c r="S308" s="151">
        <f t="shared" si="71"/>
        <v>12000</v>
      </c>
      <c r="T308" s="142">
        <v>100</v>
      </c>
      <c r="U308" s="151">
        <f t="shared" si="72"/>
        <v>12000</v>
      </c>
      <c r="V308" s="140">
        <v>100</v>
      </c>
      <c r="W308" s="151">
        <f t="shared" si="73"/>
        <v>12000</v>
      </c>
      <c r="X308" s="142">
        <v>100</v>
      </c>
      <c r="Y308" s="151">
        <f t="shared" si="74"/>
        <v>12000</v>
      </c>
      <c r="Z308" s="146"/>
      <c r="AA308" s="155">
        <f t="shared" si="75"/>
        <v>400</v>
      </c>
      <c r="AB308" s="155">
        <f t="shared" si="69"/>
        <v>0</v>
      </c>
      <c r="AC308" s="149">
        <f t="shared" si="70"/>
        <v>100</v>
      </c>
      <c r="AD308" s="156">
        <f t="shared" si="77"/>
        <v>12000</v>
      </c>
      <c r="AG308" s="149">
        <v>372</v>
      </c>
      <c r="AH308" s="149">
        <v>44640</v>
      </c>
      <c r="AI308" s="150" t="s">
        <v>1356</v>
      </c>
      <c r="AJ308" s="206">
        <f t="shared" si="65"/>
        <v>446.40000000000003</v>
      </c>
      <c r="AL308" s="149">
        <f t="shared" si="76"/>
        <v>0</v>
      </c>
    </row>
    <row r="309" spans="1:38" ht="15">
      <c r="A309" s="140">
        <v>10949</v>
      </c>
      <c r="B309" s="140">
        <v>289</v>
      </c>
      <c r="C309" s="146" t="s">
        <v>1010</v>
      </c>
      <c r="D309" s="147" t="s">
        <v>1009</v>
      </c>
      <c r="E309" s="152" t="s">
        <v>564</v>
      </c>
      <c r="F309" s="153">
        <v>1</v>
      </c>
      <c r="G309" s="146" t="s">
        <v>1245</v>
      </c>
      <c r="H309" s="221">
        <v>60</v>
      </c>
      <c r="I309" s="221" t="s">
        <v>376</v>
      </c>
      <c r="J309" s="140">
        <v>850</v>
      </c>
      <c r="K309" s="142">
        <v>1102</v>
      </c>
      <c r="L309" s="142">
        <v>1479.6</v>
      </c>
      <c r="M309" s="143">
        <v>1500</v>
      </c>
      <c r="N309" s="144">
        <v>0</v>
      </c>
      <c r="O309" s="143">
        <f t="shared" si="66"/>
        <v>1500</v>
      </c>
      <c r="P309" s="143">
        <v>200</v>
      </c>
      <c r="Q309" s="159">
        <f t="shared" si="67"/>
        <v>300000</v>
      </c>
      <c r="R309" s="140">
        <v>400</v>
      </c>
      <c r="S309" s="151">
        <f t="shared" si="71"/>
        <v>80000</v>
      </c>
      <c r="T309" s="142">
        <v>350</v>
      </c>
      <c r="U309" s="151">
        <f t="shared" si="72"/>
        <v>70000</v>
      </c>
      <c r="V309" s="140">
        <v>400</v>
      </c>
      <c r="W309" s="151">
        <f t="shared" si="73"/>
        <v>80000</v>
      </c>
      <c r="X309" s="142">
        <v>350</v>
      </c>
      <c r="Y309" s="151">
        <f t="shared" si="74"/>
        <v>70000</v>
      </c>
      <c r="Z309" s="146"/>
      <c r="AA309" s="155">
        <f t="shared" si="75"/>
        <v>1500</v>
      </c>
      <c r="AB309" s="155">
        <f t="shared" si="69"/>
        <v>0</v>
      </c>
      <c r="AC309" s="149">
        <f t="shared" si="70"/>
        <v>375</v>
      </c>
      <c r="AD309" s="156">
        <f t="shared" si="77"/>
        <v>75000</v>
      </c>
      <c r="AG309" s="149">
        <v>1233</v>
      </c>
      <c r="AH309" s="149">
        <v>246600</v>
      </c>
      <c r="AI309" s="150" t="s">
        <v>1355</v>
      </c>
      <c r="AJ309" s="206">
        <f t="shared" si="65"/>
        <v>1479.6</v>
      </c>
      <c r="AL309" s="149">
        <f t="shared" si="76"/>
        <v>0</v>
      </c>
    </row>
    <row r="310" spans="1:38" ht="15">
      <c r="A310" s="140">
        <v>10949</v>
      </c>
      <c r="B310" s="140">
        <v>290</v>
      </c>
      <c r="C310" s="146" t="s">
        <v>1012</v>
      </c>
      <c r="D310" s="147" t="s">
        <v>1011</v>
      </c>
      <c r="E310" s="191" t="s">
        <v>176</v>
      </c>
      <c r="F310" s="153">
        <v>1</v>
      </c>
      <c r="G310" s="154" t="s">
        <v>1245</v>
      </c>
      <c r="H310" s="140">
        <v>500</v>
      </c>
      <c r="I310" s="140" t="s">
        <v>376</v>
      </c>
      <c r="J310" s="140">
        <v>14.4</v>
      </c>
      <c r="K310" s="142">
        <v>15</v>
      </c>
      <c r="L310" s="142">
        <v>7.199999999999999</v>
      </c>
      <c r="M310" s="143">
        <v>15</v>
      </c>
      <c r="N310" s="144">
        <v>5</v>
      </c>
      <c r="O310" s="143">
        <f t="shared" si="66"/>
        <v>10</v>
      </c>
      <c r="P310" s="140">
        <v>389</v>
      </c>
      <c r="Q310" s="159">
        <f t="shared" si="67"/>
        <v>3890</v>
      </c>
      <c r="R310" s="140">
        <v>0</v>
      </c>
      <c r="S310" s="151">
        <f t="shared" si="71"/>
        <v>0</v>
      </c>
      <c r="T310" s="142">
        <v>10</v>
      </c>
      <c r="U310" s="151">
        <f t="shared" si="72"/>
        <v>3890</v>
      </c>
      <c r="V310" s="140">
        <v>0</v>
      </c>
      <c r="W310" s="151">
        <f t="shared" si="73"/>
        <v>0</v>
      </c>
      <c r="X310" s="142">
        <v>0</v>
      </c>
      <c r="Y310" s="151">
        <f t="shared" si="74"/>
        <v>0</v>
      </c>
      <c r="Z310" s="146"/>
      <c r="AA310" s="155">
        <f t="shared" si="75"/>
        <v>10</v>
      </c>
      <c r="AB310" s="155">
        <f t="shared" si="69"/>
        <v>0</v>
      </c>
      <c r="AC310" s="149">
        <f t="shared" si="70"/>
        <v>2.5</v>
      </c>
      <c r="AD310" s="156">
        <f t="shared" si="77"/>
        <v>972.5</v>
      </c>
      <c r="AG310" s="149">
        <v>6</v>
      </c>
      <c r="AH310" s="149">
        <v>2334</v>
      </c>
      <c r="AI310" s="150" t="s">
        <v>1356</v>
      </c>
      <c r="AJ310" s="206">
        <f t="shared" si="65"/>
        <v>7.199999999999999</v>
      </c>
      <c r="AL310" s="149">
        <f t="shared" si="76"/>
        <v>0</v>
      </c>
    </row>
    <row r="311" spans="1:38" ht="15">
      <c r="A311" s="140">
        <v>10949</v>
      </c>
      <c r="B311" s="140">
        <v>291</v>
      </c>
      <c r="C311" s="146" t="s">
        <v>1014</v>
      </c>
      <c r="D311" s="147" t="s">
        <v>1013</v>
      </c>
      <c r="E311" s="191" t="s">
        <v>177</v>
      </c>
      <c r="F311" s="153">
        <v>1</v>
      </c>
      <c r="G311" s="154" t="s">
        <v>1257</v>
      </c>
      <c r="H311" s="140">
        <v>450</v>
      </c>
      <c r="I311" s="140" t="s">
        <v>1250</v>
      </c>
      <c r="J311" s="140">
        <v>1772</v>
      </c>
      <c r="K311" s="142">
        <v>2234</v>
      </c>
      <c r="L311" s="142">
        <v>2215.2</v>
      </c>
      <c r="M311" s="143">
        <v>2300</v>
      </c>
      <c r="N311" s="144">
        <v>100</v>
      </c>
      <c r="O311" s="143">
        <f t="shared" si="66"/>
        <v>2200</v>
      </c>
      <c r="P311" s="140">
        <v>28</v>
      </c>
      <c r="Q311" s="159">
        <f t="shared" si="67"/>
        <v>61600</v>
      </c>
      <c r="R311" s="140">
        <v>550</v>
      </c>
      <c r="S311" s="151">
        <f t="shared" si="71"/>
        <v>15400</v>
      </c>
      <c r="T311" s="142">
        <v>550</v>
      </c>
      <c r="U311" s="151">
        <f t="shared" si="72"/>
        <v>15400</v>
      </c>
      <c r="V311" s="140">
        <v>550</v>
      </c>
      <c r="W311" s="151">
        <f t="shared" si="73"/>
        <v>15400</v>
      </c>
      <c r="X311" s="142">
        <v>550</v>
      </c>
      <c r="Y311" s="151">
        <f t="shared" si="74"/>
        <v>15400</v>
      </c>
      <c r="Z311" s="146"/>
      <c r="AA311" s="155">
        <f t="shared" si="75"/>
        <v>2200</v>
      </c>
      <c r="AB311" s="155">
        <f t="shared" si="69"/>
        <v>0</v>
      </c>
      <c r="AC311" s="149">
        <f aca="true" t="shared" si="78" ref="AC311:AC343">O311/4</f>
        <v>550</v>
      </c>
      <c r="AD311" s="156">
        <f t="shared" si="77"/>
        <v>15400</v>
      </c>
      <c r="AG311" s="149">
        <v>1846</v>
      </c>
      <c r="AH311" s="149">
        <v>51355.71999999974</v>
      </c>
      <c r="AI311" s="150" t="s">
        <v>1355</v>
      </c>
      <c r="AJ311" s="206">
        <f t="shared" si="65"/>
        <v>2215.2</v>
      </c>
      <c r="AL311" s="149">
        <f t="shared" si="76"/>
        <v>0</v>
      </c>
    </row>
    <row r="312" spans="1:38" ht="15">
      <c r="A312" s="140">
        <v>10949</v>
      </c>
      <c r="B312" s="140">
        <v>292</v>
      </c>
      <c r="C312" s="146" t="s">
        <v>1016</v>
      </c>
      <c r="D312" s="147" t="s">
        <v>1015</v>
      </c>
      <c r="E312" s="191" t="s">
        <v>419</v>
      </c>
      <c r="F312" s="153">
        <v>1</v>
      </c>
      <c r="G312" s="154" t="s">
        <v>1257</v>
      </c>
      <c r="H312" s="140">
        <v>60</v>
      </c>
      <c r="I312" s="140" t="s">
        <v>1250</v>
      </c>
      <c r="J312" s="166">
        <v>7120</v>
      </c>
      <c r="K312" s="142">
        <v>6665</v>
      </c>
      <c r="L312" s="142">
        <v>6596.400000000001</v>
      </c>
      <c r="M312" s="143">
        <v>7000</v>
      </c>
      <c r="N312" s="144">
        <v>200</v>
      </c>
      <c r="O312" s="143">
        <f t="shared" si="66"/>
        <v>6800</v>
      </c>
      <c r="P312" s="160">
        <v>8.5</v>
      </c>
      <c r="Q312" s="159">
        <f t="shared" si="67"/>
        <v>57800</v>
      </c>
      <c r="R312" s="140">
        <v>1700</v>
      </c>
      <c r="S312" s="151">
        <f t="shared" si="71"/>
        <v>14450</v>
      </c>
      <c r="T312" s="142">
        <v>1700</v>
      </c>
      <c r="U312" s="151">
        <f t="shared" si="72"/>
        <v>14450</v>
      </c>
      <c r="V312" s="140">
        <v>1700</v>
      </c>
      <c r="W312" s="151">
        <f t="shared" si="73"/>
        <v>14450</v>
      </c>
      <c r="X312" s="142">
        <v>1700</v>
      </c>
      <c r="Y312" s="151">
        <f t="shared" si="74"/>
        <v>14450</v>
      </c>
      <c r="Z312" s="146"/>
      <c r="AA312" s="155">
        <f t="shared" si="75"/>
        <v>6800</v>
      </c>
      <c r="AB312" s="155">
        <f t="shared" si="69"/>
        <v>0</v>
      </c>
      <c r="AC312" s="149">
        <f t="shared" si="78"/>
        <v>1700</v>
      </c>
      <c r="AD312" s="156">
        <f t="shared" si="77"/>
        <v>14450</v>
      </c>
      <c r="AG312" s="149">
        <v>5497</v>
      </c>
      <c r="AH312" s="149">
        <v>44314.72999999997</v>
      </c>
      <c r="AI312" s="150" t="s">
        <v>1356</v>
      </c>
      <c r="AJ312" s="206">
        <f t="shared" si="65"/>
        <v>6596.400000000001</v>
      </c>
      <c r="AL312" s="149">
        <f t="shared" si="76"/>
        <v>0</v>
      </c>
    </row>
    <row r="313" spans="1:38" ht="15">
      <c r="A313" s="140">
        <v>10949</v>
      </c>
      <c r="B313" s="140">
        <v>293</v>
      </c>
      <c r="C313" s="146" t="s">
        <v>1018</v>
      </c>
      <c r="D313" s="147" t="s">
        <v>1017</v>
      </c>
      <c r="E313" s="191" t="s">
        <v>178</v>
      </c>
      <c r="F313" s="153">
        <v>1</v>
      </c>
      <c r="G313" s="154" t="s">
        <v>1257</v>
      </c>
      <c r="H313" s="140">
        <v>20</v>
      </c>
      <c r="I313" s="140" t="s">
        <v>1250</v>
      </c>
      <c r="J313" s="140">
        <v>219</v>
      </c>
      <c r="K313" s="142">
        <v>140</v>
      </c>
      <c r="L313" s="142">
        <v>109.19999999999999</v>
      </c>
      <c r="M313" s="143">
        <v>120</v>
      </c>
      <c r="N313" s="144">
        <v>40</v>
      </c>
      <c r="O313" s="143">
        <f t="shared" si="66"/>
        <v>80</v>
      </c>
      <c r="P313" s="160">
        <v>40</v>
      </c>
      <c r="Q313" s="159">
        <f t="shared" si="67"/>
        <v>3200</v>
      </c>
      <c r="R313" s="140">
        <v>0</v>
      </c>
      <c r="S313" s="151">
        <f t="shared" si="71"/>
        <v>0</v>
      </c>
      <c r="T313" s="142">
        <v>0</v>
      </c>
      <c r="U313" s="151">
        <f t="shared" si="72"/>
        <v>0</v>
      </c>
      <c r="V313" s="140">
        <v>80</v>
      </c>
      <c r="W313" s="151">
        <f t="shared" si="73"/>
        <v>3200</v>
      </c>
      <c r="X313" s="142">
        <v>0</v>
      </c>
      <c r="Y313" s="151">
        <f t="shared" si="74"/>
        <v>0</v>
      </c>
      <c r="Z313" s="146"/>
      <c r="AA313" s="155">
        <f t="shared" si="75"/>
        <v>80</v>
      </c>
      <c r="AB313" s="155">
        <f t="shared" si="69"/>
        <v>0</v>
      </c>
      <c r="AC313" s="149">
        <f t="shared" si="78"/>
        <v>20</v>
      </c>
      <c r="AD313" s="156">
        <f t="shared" si="77"/>
        <v>800</v>
      </c>
      <c r="AG313" s="149">
        <v>91</v>
      </c>
      <c r="AH313" s="149">
        <v>3407.9500000000007</v>
      </c>
      <c r="AI313" s="150" t="s">
        <v>1356</v>
      </c>
      <c r="AJ313" s="206">
        <f t="shared" si="65"/>
        <v>109.19999999999999</v>
      </c>
      <c r="AL313" s="149">
        <f t="shared" si="76"/>
        <v>0</v>
      </c>
    </row>
    <row r="314" spans="1:38" ht="15">
      <c r="A314" s="140">
        <v>10949</v>
      </c>
      <c r="B314" s="140">
        <v>294</v>
      </c>
      <c r="C314" s="146" t="s">
        <v>1020</v>
      </c>
      <c r="D314" s="147" t="s">
        <v>1019</v>
      </c>
      <c r="E314" s="191" t="s">
        <v>179</v>
      </c>
      <c r="F314" s="153">
        <v>1</v>
      </c>
      <c r="G314" s="154" t="s">
        <v>1245</v>
      </c>
      <c r="H314" s="140">
        <v>500</v>
      </c>
      <c r="I314" s="140" t="s">
        <v>376</v>
      </c>
      <c r="J314" s="140">
        <v>15</v>
      </c>
      <c r="K314" s="142">
        <v>24</v>
      </c>
      <c r="L314" s="142">
        <v>9.600000000000001</v>
      </c>
      <c r="M314" s="143">
        <v>15</v>
      </c>
      <c r="N314" s="144">
        <v>3</v>
      </c>
      <c r="O314" s="143">
        <f t="shared" si="66"/>
        <v>12</v>
      </c>
      <c r="P314" s="140">
        <v>60</v>
      </c>
      <c r="Q314" s="159">
        <f t="shared" si="67"/>
        <v>720</v>
      </c>
      <c r="R314" s="140">
        <v>0</v>
      </c>
      <c r="S314" s="151">
        <f t="shared" si="71"/>
        <v>0</v>
      </c>
      <c r="T314" s="142">
        <v>4</v>
      </c>
      <c r="U314" s="151">
        <f t="shared" si="72"/>
        <v>240</v>
      </c>
      <c r="V314" s="140">
        <v>4</v>
      </c>
      <c r="W314" s="151">
        <f t="shared" si="73"/>
        <v>240</v>
      </c>
      <c r="X314" s="142">
        <v>4</v>
      </c>
      <c r="Y314" s="151">
        <f t="shared" si="74"/>
        <v>240</v>
      </c>
      <c r="Z314" s="146"/>
      <c r="AA314" s="155">
        <f t="shared" si="75"/>
        <v>12</v>
      </c>
      <c r="AB314" s="155">
        <f t="shared" si="69"/>
        <v>0</v>
      </c>
      <c r="AC314" s="149">
        <f t="shared" si="78"/>
        <v>3</v>
      </c>
      <c r="AD314" s="156">
        <f t="shared" si="77"/>
        <v>180</v>
      </c>
      <c r="AG314" s="149">
        <v>8</v>
      </c>
      <c r="AH314" s="149">
        <v>470</v>
      </c>
      <c r="AI314" s="150" t="s">
        <v>1352</v>
      </c>
      <c r="AJ314" s="206">
        <f t="shared" si="65"/>
        <v>9.600000000000001</v>
      </c>
      <c r="AL314" s="149">
        <f t="shared" si="76"/>
        <v>0</v>
      </c>
    </row>
    <row r="315" spans="1:38" ht="15">
      <c r="A315" s="140">
        <v>10949</v>
      </c>
      <c r="B315" s="140">
        <v>295</v>
      </c>
      <c r="C315" s="146"/>
      <c r="D315" s="147"/>
      <c r="E315" s="191" t="s">
        <v>180</v>
      </c>
      <c r="F315" s="153">
        <v>1</v>
      </c>
      <c r="G315" s="154" t="s">
        <v>1259</v>
      </c>
      <c r="H315" s="140">
        <v>1</v>
      </c>
      <c r="I315" s="140" t="s">
        <v>388</v>
      </c>
      <c r="J315" s="166">
        <v>510</v>
      </c>
      <c r="K315" s="142">
        <v>490</v>
      </c>
      <c r="L315" s="142">
        <v>396</v>
      </c>
      <c r="M315" s="143">
        <v>480</v>
      </c>
      <c r="N315" s="144">
        <v>160</v>
      </c>
      <c r="O315" s="143">
        <f t="shared" si="66"/>
        <v>320</v>
      </c>
      <c r="P315" s="140">
        <v>45.62</v>
      </c>
      <c r="Q315" s="159">
        <f t="shared" si="67"/>
        <v>14598.4</v>
      </c>
      <c r="R315" s="140">
        <v>80</v>
      </c>
      <c r="S315" s="151">
        <f t="shared" si="71"/>
        <v>3649.6</v>
      </c>
      <c r="T315" s="142">
        <v>80</v>
      </c>
      <c r="U315" s="151">
        <f t="shared" si="72"/>
        <v>3649.6</v>
      </c>
      <c r="V315" s="140">
        <v>80</v>
      </c>
      <c r="W315" s="151">
        <f t="shared" si="73"/>
        <v>3649.6</v>
      </c>
      <c r="X315" s="142">
        <v>80</v>
      </c>
      <c r="Y315" s="151">
        <f t="shared" si="74"/>
        <v>3649.6</v>
      </c>
      <c r="Z315" s="146"/>
      <c r="AA315" s="155">
        <f t="shared" si="75"/>
        <v>320</v>
      </c>
      <c r="AB315" s="155">
        <f t="shared" si="69"/>
        <v>0</v>
      </c>
      <c r="AC315" s="149">
        <f t="shared" si="78"/>
        <v>80</v>
      </c>
      <c r="AD315" s="156">
        <f t="shared" si="77"/>
        <v>3649.6</v>
      </c>
      <c r="AG315" s="149">
        <v>330</v>
      </c>
      <c r="AH315" s="149">
        <v>12197.999999999996</v>
      </c>
      <c r="AI315" s="150" t="s">
        <v>1302</v>
      </c>
      <c r="AJ315" s="206">
        <f t="shared" si="65"/>
        <v>396</v>
      </c>
      <c r="AL315" s="149">
        <f t="shared" si="76"/>
        <v>0</v>
      </c>
    </row>
    <row r="316" spans="1:38" ht="15">
      <c r="A316" s="140">
        <v>10949</v>
      </c>
      <c r="B316" s="140">
        <v>296</v>
      </c>
      <c r="C316" s="212">
        <v>313344</v>
      </c>
      <c r="D316" s="147" t="s">
        <v>1224</v>
      </c>
      <c r="E316" s="191" t="s">
        <v>181</v>
      </c>
      <c r="F316" s="153">
        <v>1</v>
      </c>
      <c r="G316" s="154" t="s">
        <v>1254</v>
      </c>
      <c r="H316" s="140">
        <v>60</v>
      </c>
      <c r="I316" s="140" t="s">
        <v>1250</v>
      </c>
      <c r="J316" s="140">
        <v>1615</v>
      </c>
      <c r="K316" s="142">
        <v>720</v>
      </c>
      <c r="L316" s="142">
        <v>954</v>
      </c>
      <c r="M316" s="143">
        <v>1000</v>
      </c>
      <c r="N316" s="144">
        <v>50</v>
      </c>
      <c r="O316" s="143">
        <f t="shared" si="66"/>
        <v>950</v>
      </c>
      <c r="P316" s="140">
        <v>8</v>
      </c>
      <c r="Q316" s="159">
        <f t="shared" si="67"/>
        <v>7600</v>
      </c>
      <c r="R316" s="140">
        <v>250</v>
      </c>
      <c r="S316" s="151">
        <f t="shared" si="71"/>
        <v>2000</v>
      </c>
      <c r="T316" s="142">
        <v>200</v>
      </c>
      <c r="U316" s="151">
        <f t="shared" si="72"/>
        <v>1600</v>
      </c>
      <c r="V316" s="140">
        <v>250</v>
      </c>
      <c r="W316" s="151">
        <f t="shared" si="73"/>
        <v>2000</v>
      </c>
      <c r="X316" s="142">
        <v>250</v>
      </c>
      <c r="Y316" s="151">
        <f t="shared" si="74"/>
        <v>2000</v>
      </c>
      <c r="Z316" s="146"/>
      <c r="AA316" s="155">
        <f t="shared" si="75"/>
        <v>950</v>
      </c>
      <c r="AB316" s="155">
        <f t="shared" si="69"/>
        <v>0</v>
      </c>
      <c r="AC316" s="149">
        <f t="shared" si="78"/>
        <v>237.5</v>
      </c>
      <c r="AD316" s="156">
        <f t="shared" si="77"/>
        <v>1900</v>
      </c>
      <c r="AG316" s="149">
        <v>795</v>
      </c>
      <c r="AH316" s="149">
        <v>6360</v>
      </c>
      <c r="AI316" s="150" t="s">
        <v>1356</v>
      </c>
      <c r="AJ316" s="206">
        <f t="shared" si="65"/>
        <v>954</v>
      </c>
      <c r="AL316" s="149">
        <f t="shared" si="76"/>
        <v>0</v>
      </c>
    </row>
    <row r="317" spans="1:38" ht="15">
      <c r="A317" s="140">
        <v>10949</v>
      </c>
      <c r="B317" s="140">
        <v>297</v>
      </c>
      <c r="C317" s="146" t="s">
        <v>1022</v>
      </c>
      <c r="D317" s="147" t="s">
        <v>1021</v>
      </c>
      <c r="E317" s="152" t="s">
        <v>1407</v>
      </c>
      <c r="F317" s="153">
        <v>1</v>
      </c>
      <c r="G317" s="146" t="s">
        <v>1259</v>
      </c>
      <c r="H317" s="140">
        <v>1</v>
      </c>
      <c r="I317" s="140" t="s">
        <v>388</v>
      </c>
      <c r="J317" s="140">
        <v>40</v>
      </c>
      <c r="K317" s="142">
        <v>0</v>
      </c>
      <c r="L317" s="142">
        <v>0</v>
      </c>
      <c r="M317" s="143">
        <v>0</v>
      </c>
      <c r="N317" s="144">
        <v>0</v>
      </c>
      <c r="O317" s="143">
        <f t="shared" si="66"/>
        <v>0</v>
      </c>
      <c r="P317" s="140">
        <v>267.5</v>
      </c>
      <c r="Q317" s="159">
        <f t="shared" si="67"/>
        <v>0</v>
      </c>
      <c r="R317" s="140">
        <v>0</v>
      </c>
      <c r="S317" s="151">
        <f t="shared" si="71"/>
        <v>0</v>
      </c>
      <c r="T317" s="169">
        <v>0</v>
      </c>
      <c r="U317" s="151">
        <f t="shared" si="72"/>
        <v>0</v>
      </c>
      <c r="V317" s="140">
        <v>0</v>
      </c>
      <c r="W317" s="151">
        <f t="shared" si="73"/>
        <v>0</v>
      </c>
      <c r="X317" s="142">
        <v>0</v>
      </c>
      <c r="Y317" s="151">
        <f t="shared" si="74"/>
        <v>0</v>
      </c>
      <c r="Z317" s="146"/>
      <c r="AA317" s="155">
        <f t="shared" si="75"/>
        <v>0</v>
      </c>
      <c r="AB317" s="155">
        <f t="shared" si="69"/>
        <v>0</v>
      </c>
      <c r="AC317" s="149">
        <f t="shared" si="78"/>
        <v>0</v>
      </c>
      <c r="AD317" s="156"/>
      <c r="AJ317" s="206">
        <f t="shared" si="65"/>
        <v>0</v>
      </c>
      <c r="AL317" s="149">
        <f t="shared" si="76"/>
        <v>0</v>
      </c>
    </row>
    <row r="318" spans="1:38" ht="15">
      <c r="A318" s="140">
        <v>10949</v>
      </c>
      <c r="B318" s="140">
        <v>298</v>
      </c>
      <c r="C318" s="146" t="s">
        <v>1024</v>
      </c>
      <c r="D318" s="147" t="s">
        <v>1023</v>
      </c>
      <c r="E318" s="152" t="s">
        <v>1093</v>
      </c>
      <c r="F318" s="153">
        <v>1</v>
      </c>
      <c r="G318" s="146" t="s">
        <v>1259</v>
      </c>
      <c r="H318" s="140">
        <v>1</v>
      </c>
      <c r="I318" s="140" t="s">
        <v>388</v>
      </c>
      <c r="J318" s="140">
        <v>1460</v>
      </c>
      <c r="K318" s="142">
        <v>1610</v>
      </c>
      <c r="L318" s="142">
        <v>1765.1999999999998</v>
      </c>
      <c r="M318" s="143">
        <v>1800</v>
      </c>
      <c r="N318" s="144">
        <v>100</v>
      </c>
      <c r="O318" s="143">
        <f t="shared" si="66"/>
        <v>1700</v>
      </c>
      <c r="P318" s="140">
        <v>562.8199999999998</v>
      </c>
      <c r="Q318" s="159">
        <f t="shared" si="67"/>
        <v>956793.9999999997</v>
      </c>
      <c r="R318" s="140">
        <v>400</v>
      </c>
      <c r="S318" s="151">
        <f t="shared" si="71"/>
        <v>225127.99999999994</v>
      </c>
      <c r="T318" s="169">
        <v>450</v>
      </c>
      <c r="U318" s="151">
        <f t="shared" si="72"/>
        <v>253268.9999999999</v>
      </c>
      <c r="V318" s="140">
        <v>450</v>
      </c>
      <c r="W318" s="151">
        <f t="shared" si="73"/>
        <v>253268.9999999999</v>
      </c>
      <c r="X318" s="142">
        <v>400</v>
      </c>
      <c r="Y318" s="151">
        <f t="shared" si="74"/>
        <v>225127.99999999994</v>
      </c>
      <c r="Z318" s="146"/>
      <c r="AA318" s="155">
        <f t="shared" si="75"/>
        <v>1700</v>
      </c>
      <c r="AB318" s="155">
        <f t="shared" si="69"/>
        <v>0</v>
      </c>
      <c r="AC318" s="149">
        <f t="shared" si="78"/>
        <v>425</v>
      </c>
      <c r="AD318" s="156">
        <f aca="true" t="shared" si="79" ref="AD318:AD350">Q318/4</f>
        <v>239198.4999999999</v>
      </c>
      <c r="AG318" s="149">
        <v>1471</v>
      </c>
      <c r="AH318" s="149">
        <v>827908.2199999997</v>
      </c>
      <c r="AI318" s="150" t="s">
        <v>1355</v>
      </c>
      <c r="AJ318" s="206">
        <f t="shared" si="65"/>
        <v>1765.1999999999998</v>
      </c>
      <c r="AL318" s="149">
        <f t="shared" si="76"/>
        <v>0</v>
      </c>
    </row>
    <row r="319" spans="1:38" ht="15">
      <c r="A319" s="140">
        <v>10949</v>
      </c>
      <c r="B319" s="140">
        <v>299</v>
      </c>
      <c r="C319" s="146" t="s">
        <v>1026</v>
      </c>
      <c r="D319" s="147" t="s">
        <v>1025</v>
      </c>
      <c r="E319" s="152" t="s">
        <v>565</v>
      </c>
      <c r="F319" s="153">
        <v>1</v>
      </c>
      <c r="G319" s="146" t="s">
        <v>1245</v>
      </c>
      <c r="H319" s="140">
        <v>100</v>
      </c>
      <c r="I319" s="140" t="s">
        <v>376</v>
      </c>
      <c r="J319" s="140">
        <v>305.6</v>
      </c>
      <c r="K319" s="142">
        <v>364.1</v>
      </c>
      <c r="L319" s="142">
        <v>469.68</v>
      </c>
      <c r="M319" s="143">
        <v>500</v>
      </c>
      <c r="N319" s="144">
        <v>100</v>
      </c>
      <c r="O319" s="143">
        <f t="shared" si="66"/>
        <v>400</v>
      </c>
      <c r="P319" s="140">
        <v>200</v>
      </c>
      <c r="Q319" s="159">
        <f t="shared" si="67"/>
        <v>80000</v>
      </c>
      <c r="R319" s="140">
        <v>100</v>
      </c>
      <c r="S319" s="151">
        <f t="shared" si="71"/>
        <v>20000</v>
      </c>
      <c r="T319" s="142">
        <v>100</v>
      </c>
      <c r="U319" s="151">
        <f t="shared" si="72"/>
        <v>20000</v>
      </c>
      <c r="V319" s="140">
        <v>100</v>
      </c>
      <c r="W319" s="151">
        <f t="shared" si="73"/>
        <v>20000</v>
      </c>
      <c r="X319" s="142">
        <v>100</v>
      </c>
      <c r="Y319" s="151">
        <f t="shared" si="74"/>
        <v>20000</v>
      </c>
      <c r="Z319" s="146"/>
      <c r="AA319" s="155">
        <f t="shared" si="75"/>
        <v>400</v>
      </c>
      <c r="AB319" s="155">
        <f t="shared" si="69"/>
        <v>0</v>
      </c>
      <c r="AC319" s="149">
        <f t="shared" si="78"/>
        <v>100</v>
      </c>
      <c r="AD319" s="156">
        <f t="shared" si="79"/>
        <v>20000</v>
      </c>
      <c r="AG319" s="149">
        <f>380+11.4</f>
        <v>391.4</v>
      </c>
      <c r="AH319" s="149">
        <f>76000+2439.6</f>
        <v>78439.6</v>
      </c>
      <c r="AI319" s="150" t="s">
        <v>1356</v>
      </c>
      <c r="AJ319" s="206">
        <f t="shared" si="65"/>
        <v>469.68</v>
      </c>
      <c r="AL319" s="149">
        <f t="shared" si="76"/>
        <v>0</v>
      </c>
    </row>
    <row r="320" spans="1:38" ht="15">
      <c r="A320" s="140">
        <v>10949</v>
      </c>
      <c r="B320" s="140">
        <v>300</v>
      </c>
      <c r="C320" s="212">
        <v>776651</v>
      </c>
      <c r="D320" s="147" t="s">
        <v>1225</v>
      </c>
      <c r="E320" s="191" t="s">
        <v>182</v>
      </c>
      <c r="F320" s="153">
        <v>1</v>
      </c>
      <c r="G320" s="154" t="s">
        <v>1247</v>
      </c>
      <c r="H320" s="140">
        <v>25</v>
      </c>
      <c r="I320" s="140" t="s">
        <v>1238</v>
      </c>
      <c r="J320" s="140">
        <v>113</v>
      </c>
      <c r="K320" s="142">
        <v>81</v>
      </c>
      <c r="L320" s="142">
        <v>117.60000000000001</v>
      </c>
      <c r="M320" s="143">
        <v>120</v>
      </c>
      <c r="N320" s="144">
        <v>40</v>
      </c>
      <c r="O320" s="143">
        <f t="shared" si="66"/>
        <v>80</v>
      </c>
      <c r="P320" s="140">
        <v>28</v>
      </c>
      <c r="Q320" s="159">
        <f t="shared" si="67"/>
        <v>2240</v>
      </c>
      <c r="R320" s="140">
        <v>0</v>
      </c>
      <c r="S320" s="151">
        <f t="shared" si="71"/>
        <v>0</v>
      </c>
      <c r="T320" s="142">
        <v>0</v>
      </c>
      <c r="U320" s="151">
        <f t="shared" si="72"/>
        <v>0</v>
      </c>
      <c r="V320" s="140">
        <v>80</v>
      </c>
      <c r="W320" s="151">
        <f t="shared" si="73"/>
        <v>2240</v>
      </c>
      <c r="X320" s="142">
        <v>0</v>
      </c>
      <c r="Y320" s="151">
        <f t="shared" si="74"/>
        <v>0</v>
      </c>
      <c r="Z320" s="146"/>
      <c r="AA320" s="155">
        <f t="shared" si="75"/>
        <v>80</v>
      </c>
      <c r="AB320" s="155">
        <f t="shared" si="69"/>
        <v>0</v>
      </c>
      <c r="AC320" s="149">
        <f t="shared" si="78"/>
        <v>20</v>
      </c>
      <c r="AD320" s="156">
        <f t="shared" si="79"/>
        <v>560</v>
      </c>
      <c r="AG320" s="149">
        <v>98</v>
      </c>
      <c r="AH320" s="149">
        <v>2744</v>
      </c>
      <c r="AI320" s="150" t="s">
        <v>1352</v>
      </c>
      <c r="AJ320" s="206">
        <f t="shared" si="65"/>
        <v>117.60000000000001</v>
      </c>
      <c r="AL320" s="149">
        <f t="shared" si="76"/>
        <v>0</v>
      </c>
    </row>
    <row r="321" spans="1:38" ht="15">
      <c r="A321" s="140">
        <v>10949</v>
      </c>
      <c r="B321" s="140">
        <v>301</v>
      </c>
      <c r="C321" s="146" t="s">
        <v>1028</v>
      </c>
      <c r="D321" s="147" t="s">
        <v>1027</v>
      </c>
      <c r="E321" s="191" t="s">
        <v>183</v>
      </c>
      <c r="F321" s="153">
        <v>1</v>
      </c>
      <c r="G321" s="154" t="s">
        <v>1247</v>
      </c>
      <c r="H321" s="140">
        <v>450</v>
      </c>
      <c r="I321" s="140" t="s">
        <v>1238</v>
      </c>
      <c r="J321" s="140">
        <v>4</v>
      </c>
      <c r="K321" s="142">
        <v>2</v>
      </c>
      <c r="L321" s="142">
        <v>2.4000000000000004</v>
      </c>
      <c r="M321" s="143">
        <v>4</v>
      </c>
      <c r="N321" s="144">
        <v>4</v>
      </c>
      <c r="O321" s="143">
        <v>0</v>
      </c>
      <c r="P321" s="140">
        <v>320</v>
      </c>
      <c r="Q321" s="159">
        <f t="shared" si="67"/>
        <v>0</v>
      </c>
      <c r="R321" s="140">
        <v>0</v>
      </c>
      <c r="S321" s="151">
        <f t="shared" si="71"/>
        <v>0</v>
      </c>
      <c r="T321" s="142">
        <v>0</v>
      </c>
      <c r="U321" s="151">
        <f t="shared" si="72"/>
        <v>0</v>
      </c>
      <c r="V321" s="140">
        <v>0</v>
      </c>
      <c r="W321" s="151">
        <f t="shared" si="73"/>
        <v>0</v>
      </c>
      <c r="X321" s="142">
        <v>0</v>
      </c>
      <c r="Y321" s="151">
        <f t="shared" si="74"/>
        <v>0</v>
      </c>
      <c r="Z321" s="146"/>
      <c r="AA321" s="155">
        <f t="shared" si="75"/>
        <v>0</v>
      </c>
      <c r="AB321" s="155">
        <f t="shared" si="69"/>
        <v>0</v>
      </c>
      <c r="AC321" s="149">
        <f t="shared" si="78"/>
        <v>0</v>
      </c>
      <c r="AD321" s="156">
        <f t="shared" si="79"/>
        <v>0</v>
      </c>
      <c r="AG321" s="149">
        <v>2</v>
      </c>
      <c r="AH321" s="149">
        <v>640</v>
      </c>
      <c r="AI321" s="150" t="s">
        <v>1352</v>
      </c>
      <c r="AJ321" s="206">
        <f t="shared" si="65"/>
        <v>2.4000000000000004</v>
      </c>
      <c r="AL321" s="149">
        <f t="shared" si="76"/>
        <v>0</v>
      </c>
    </row>
    <row r="322" spans="1:38" ht="15">
      <c r="A322" s="140">
        <v>10949</v>
      </c>
      <c r="B322" s="140">
        <v>302</v>
      </c>
      <c r="C322" s="146" t="s">
        <v>1032</v>
      </c>
      <c r="D322" s="147" t="s">
        <v>1029</v>
      </c>
      <c r="E322" s="152" t="s">
        <v>472</v>
      </c>
      <c r="F322" s="153">
        <v>1</v>
      </c>
      <c r="G322" s="146" t="s">
        <v>1245</v>
      </c>
      <c r="H322" s="140">
        <v>500</v>
      </c>
      <c r="I322" s="140" t="s">
        <v>376</v>
      </c>
      <c r="J322" s="140">
        <v>276</v>
      </c>
      <c r="K322" s="142">
        <v>274</v>
      </c>
      <c r="L322" s="142">
        <v>252</v>
      </c>
      <c r="M322" s="143">
        <v>280</v>
      </c>
      <c r="N322" s="144">
        <v>40</v>
      </c>
      <c r="O322" s="143">
        <f t="shared" si="66"/>
        <v>240</v>
      </c>
      <c r="P322" s="140">
        <v>127</v>
      </c>
      <c r="Q322" s="159">
        <f t="shared" si="67"/>
        <v>30480</v>
      </c>
      <c r="R322" s="140">
        <v>60</v>
      </c>
      <c r="S322" s="151">
        <f t="shared" si="71"/>
        <v>7620</v>
      </c>
      <c r="T322" s="142">
        <v>60</v>
      </c>
      <c r="U322" s="151">
        <f t="shared" si="72"/>
        <v>7620</v>
      </c>
      <c r="V322" s="140">
        <v>60</v>
      </c>
      <c r="W322" s="151">
        <f t="shared" si="73"/>
        <v>7620</v>
      </c>
      <c r="X322" s="142">
        <v>60</v>
      </c>
      <c r="Y322" s="151">
        <f t="shared" si="74"/>
        <v>7620</v>
      </c>
      <c r="Z322" s="146"/>
      <c r="AA322" s="155">
        <f t="shared" si="75"/>
        <v>240</v>
      </c>
      <c r="AB322" s="155">
        <f t="shared" si="69"/>
        <v>0</v>
      </c>
      <c r="AC322" s="149">
        <f t="shared" si="78"/>
        <v>60</v>
      </c>
      <c r="AD322" s="156">
        <f t="shared" si="79"/>
        <v>7620</v>
      </c>
      <c r="AG322" s="149">
        <v>210</v>
      </c>
      <c r="AH322" s="149">
        <v>26670</v>
      </c>
      <c r="AI322" s="150" t="s">
        <v>1356</v>
      </c>
      <c r="AJ322" s="206">
        <f t="shared" si="65"/>
        <v>252</v>
      </c>
      <c r="AL322" s="149">
        <f aca="true" t="shared" si="80" ref="AL322:AL327">AK322/H322</f>
        <v>0</v>
      </c>
    </row>
    <row r="323" spans="1:38" ht="15">
      <c r="A323" s="140">
        <v>10949</v>
      </c>
      <c r="B323" s="140">
        <v>303</v>
      </c>
      <c r="C323" s="146" t="s">
        <v>1031</v>
      </c>
      <c r="D323" s="147" t="s">
        <v>1030</v>
      </c>
      <c r="E323" s="191" t="s">
        <v>184</v>
      </c>
      <c r="F323" s="153">
        <v>1</v>
      </c>
      <c r="G323" s="154" t="s">
        <v>1245</v>
      </c>
      <c r="H323" s="140">
        <v>100</v>
      </c>
      <c r="I323" s="140" t="s">
        <v>376</v>
      </c>
      <c r="J323" s="140">
        <v>10820</v>
      </c>
      <c r="K323" s="142">
        <v>11736</v>
      </c>
      <c r="L323" s="142">
        <v>12939.599999999999</v>
      </c>
      <c r="M323" s="143">
        <v>15000</v>
      </c>
      <c r="N323" s="144">
        <v>1000</v>
      </c>
      <c r="O323" s="143">
        <f t="shared" si="66"/>
        <v>14000</v>
      </c>
      <c r="P323" s="140">
        <v>48.15</v>
      </c>
      <c r="Q323" s="159">
        <f t="shared" si="67"/>
        <v>674100</v>
      </c>
      <c r="R323" s="140">
        <v>3500</v>
      </c>
      <c r="S323" s="151">
        <f t="shared" si="71"/>
        <v>168525</v>
      </c>
      <c r="T323" s="142">
        <v>3500</v>
      </c>
      <c r="U323" s="151">
        <f t="shared" si="72"/>
        <v>168525</v>
      </c>
      <c r="V323" s="140">
        <v>3500</v>
      </c>
      <c r="W323" s="151">
        <f t="shared" si="73"/>
        <v>168525</v>
      </c>
      <c r="X323" s="142">
        <v>3500</v>
      </c>
      <c r="Y323" s="151">
        <f t="shared" si="74"/>
        <v>168525</v>
      </c>
      <c r="Z323" s="146"/>
      <c r="AA323" s="155">
        <f t="shared" si="75"/>
        <v>14000</v>
      </c>
      <c r="AB323" s="155">
        <f t="shared" si="69"/>
        <v>0</v>
      </c>
      <c r="AC323" s="149">
        <f t="shared" si="78"/>
        <v>3500</v>
      </c>
      <c r="AD323" s="156">
        <f t="shared" si="79"/>
        <v>168525</v>
      </c>
      <c r="AG323" s="149">
        <f>5963+4820</f>
        <v>10783</v>
      </c>
      <c r="AH323" s="149">
        <f>287118.45+220650</f>
        <v>507768.45</v>
      </c>
      <c r="AI323" s="150" t="s">
        <v>1355</v>
      </c>
      <c r="AJ323" s="206">
        <f t="shared" si="65"/>
        <v>12939.599999999999</v>
      </c>
      <c r="AL323" s="149">
        <f t="shared" si="80"/>
        <v>0</v>
      </c>
    </row>
    <row r="324" spans="1:38" ht="15">
      <c r="A324" s="140">
        <v>10949</v>
      </c>
      <c r="B324" s="140">
        <v>304</v>
      </c>
      <c r="C324" s="212"/>
      <c r="D324" s="147"/>
      <c r="E324" s="191" t="s">
        <v>185</v>
      </c>
      <c r="F324" s="153">
        <v>1</v>
      </c>
      <c r="G324" s="154" t="s">
        <v>1248</v>
      </c>
      <c r="H324" s="140">
        <v>1</v>
      </c>
      <c r="I324" s="140" t="s">
        <v>389</v>
      </c>
      <c r="J324" s="140">
        <v>428</v>
      </c>
      <c r="K324" s="142">
        <v>487</v>
      </c>
      <c r="L324" s="142">
        <v>229.20000000000002</v>
      </c>
      <c r="M324" s="143">
        <v>400</v>
      </c>
      <c r="N324" s="144">
        <v>200</v>
      </c>
      <c r="O324" s="143">
        <f t="shared" si="66"/>
        <v>200</v>
      </c>
      <c r="P324" s="140">
        <v>30</v>
      </c>
      <c r="Q324" s="159">
        <f t="shared" si="67"/>
        <v>6000</v>
      </c>
      <c r="R324" s="140">
        <v>0</v>
      </c>
      <c r="S324" s="151">
        <f t="shared" si="71"/>
        <v>0</v>
      </c>
      <c r="T324" s="142">
        <v>0</v>
      </c>
      <c r="U324" s="151">
        <f t="shared" si="72"/>
        <v>0</v>
      </c>
      <c r="V324" s="140">
        <v>200</v>
      </c>
      <c r="W324" s="151">
        <f t="shared" si="73"/>
        <v>6000</v>
      </c>
      <c r="X324" s="142">
        <v>0</v>
      </c>
      <c r="Y324" s="151">
        <f t="shared" si="74"/>
        <v>0</v>
      </c>
      <c r="Z324" s="146"/>
      <c r="AA324" s="155">
        <f t="shared" si="75"/>
        <v>200</v>
      </c>
      <c r="AB324" s="155">
        <f t="shared" si="69"/>
        <v>0</v>
      </c>
      <c r="AC324" s="149">
        <f t="shared" si="78"/>
        <v>50</v>
      </c>
      <c r="AD324" s="156">
        <f t="shared" si="79"/>
        <v>1500</v>
      </c>
      <c r="AG324" s="149">
        <v>191</v>
      </c>
      <c r="AH324" s="149">
        <v>5730</v>
      </c>
      <c r="AI324" s="150" t="s">
        <v>1300</v>
      </c>
      <c r="AJ324" s="206">
        <f t="shared" si="65"/>
        <v>229.20000000000002</v>
      </c>
      <c r="AL324" s="149">
        <f t="shared" si="80"/>
        <v>0</v>
      </c>
    </row>
    <row r="325" spans="1:38" ht="15">
      <c r="A325" s="140">
        <v>10949</v>
      </c>
      <c r="B325" s="140">
        <v>305</v>
      </c>
      <c r="C325" s="146" t="s">
        <v>1035</v>
      </c>
      <c r="D325" s="147" t="s">
        <v>1033</v>
      </c>
      <c r="E325" s="152" t="s">
        <v>402</v>
      </c>
      <c r="F325" s="153">
        <v>2</v>
      </c>
      <c r="G325" s="146" t="s">
        <v>1251</v>
      </c>
      <c r="H325" s="140">
        <v>60</v>
      </c>
      <c r="I325" s="140" t="s">
        <v>1250</v>
      </c>
      <c r="J325" s="140">
        <v>2680</v>
      </c>
      <c r="K325" s="142">
        <v>2045</v>
      </c>
      <c r="L325" s="142">
        <v>1008</v>
      </c>
      <c r="M325" s="143">
        <v>2000</v>
      </c>
      <c r="N325" s="144">
        <v>0</v>
      </c>
      <c r="O325" s="143">
        <f t="shared" si="66"/>
        <v>2000</v>
      </c>
      <c r="P325" s="140">
        <v>6</v>
      </c>
      <c r="Q325" s="159">
        <f t="shared" si="67"/>
        <v>12000</v>
      </c>
      <c r="R325" s="140">
        <v>500</v>
      </c>
      <c r="S325" s="151">
        <f t="shared" si="71"/>
        <v>3000</v>
      </c>
      <c r="T325" s="169">
        <v>500</v>
      </c>
      <c r="U325" s="151">
        <f t="shared" si="72"/>
        <v>3000</v>
      </c>
      <c r="V325" s="140">
        <v>500</v>
      </c>
      <c r="W325" s="151">
        <f t="shared" si="73"/>
        <v>3000</v>
      </c>
      <c r="X325" s="142">
        <v>500</v>
      </c>
      <c r="Y325" s="151">
        <f t="shared" si="74"/>
        <v>3000</v>
      </c>
      <c r="Z325" s="146"/>
      <c r="AA325" s="155">
        <f t="shared" si="75"/>
        <v>2000</v>
      </c>
      <c r="AB325" s="155">
        <f t="shared" si="69"/>
        <v>0</v>
      </c>
      <c r="AC325" s="149">
        <f t="shared" si="78"/>
        <v>500</v>
      </c>
      <c r="AD325" s="156">
        <f t="shared" si="79"/>
        <v>3000</v>
      </c>
      <c r="AG325" s="149">
        <v>840</v>
      </c>
      <c r="AH325" s="149">
        <v>5040</v>
      </c>
      <c r="AI325" s="150" t="s">
        <v>1357</v>
      </c>
      <c r="AJ325" s="206">
        <f t="shared" si="65"/>
        <v>1008</v>
      </c>
      <c r="AL325" s="149">
        <f t="shared" si="80"/>
        <v>0</v>
      </c>
    </row>
    <row r="326" spans="1:38" ht="15">
      <c r="A326" s="140">
        <v>10949</v>
      </c>
      <c r="B326" s="140">
        <v>306</v>
      </c>
      <c r="C326" s="212"/>
      <c r="D326" s="147"/>
      <c r="E326" s="191" t="s">
        <v>186</v>
      </c>
      <c r="F326" s="153">
        <v>1</v>
      </c>
      <c r="G326" s="154" t="s">
        <v>1245</v>
      </c>
      <c r="H326" s="140">
        <v>1000</v>
      </c>
      <c r="I326" s="140" t="s">
        <v>376</v>
      </c>
      <c r="J326" s="140">
        <v>558</v>
      </c>
      <c r="K326" s="142">
        <v>675</v>
      </c>
      <c r="L326" s="142">
        <v>718.8</v>
      </c>
      <c r="M326" s="143">
        <v>800</v>
      </c>
      <c r="N326" s="144">
        <v>100</v>
      </c>
      <c r="O326" s="143">
        <f t="shared" si="66"/>
        <v>700</v>
      </c>
      <c r="P326" s="140">
        <v>73</v>
      </c>
      <c r="Q326" s="159">
        <f t="shared" si="67"/>
        <v>51100</v>
      </c>
      <c r="R326" s="140">
        <v>180</v>
      </c>
      <c r="S326" s="151">
        <f t="shared" si="71"/>
        <v>13140</v>
      </c>
      <c r="T326" s="142">
        <v>170</v>
      </c>
      <c r="U326" s="151">
        <f t="shared" si="72"/>
        <v>12410</v>
      </c>
      <c r="V326" s="140">
        <v>180</v>
      </c>
      <c r="W326" s="151">
        <f t="shared" si="73"/>
        <v>13140</v>
      </c>
      <c r="X326" s="142">
        <v>170</v>
      </c>
      <c r="Y326" s="151">
        <f t="shared" si="74"/>
        <v>12410</v>
      </c>
      <c r="Z326" s="146"/>
      <c r="AA326" s="155">
        <f t="shared" si="75"/>
        <v>700</v>
      </c>
      <c r="AB326" s="155">
        <f t="shared" si="69"/>
        <v>0</v>
      </c>
      <c r="AC326" s="149">
        <f t="shared" si="78"/>
        <v>175</v>
      </c>
      <c r="AD326" s="156">
        <f t="shared" si="79"/>
        <v>12775</v>
      </c>
      <c r="AG326" s="149">
        <v>599</v>
      </c>
      <c r="AH326" s="149">
        <v>43335</v>
      </c>
      <c r="AI326" s="150" t="s">
        <v>1356</v>
      </c>
      <c r="AJ326" s="206">
        <f t="shared" si="65"/>
        <v>718.8</v>
      </c>
      <c r="AL326" s="149">
        <f t="shared" si="80"/>
        <v>0</v>
      </c>
    </row>
    <row r="327" spans="1:38" ht="15">
      <c r="A327" s="140">
        <v>10949</v>
      </c>
      <c r="B327" s="140">
        <v>307</v>
      </c>
      <c r="C327" s="146" t="s">
        <v>1037</v>
      </c>
      <c r="D327" s="147" t="s">
        <v>1036</v>
      </c>
      <c r="E327" s="191" t="s">
        <v>511</v>
      </c>
      <c r="F327" s="153">
        <v>1</v>
      </c>
      <c r="G327" s="154" t="s">
        <v>1257</v>
      </c>
      <c r="H327" s="140">
        <v>1</v>
      </c>
      <c r="I327" s="140" t="s">
        <v>388</v>
      </c>
      <c r="J327" s="140">
        <v>4043</v>
      </c>
      <c r="K327" s="142">
        <v>4127</v>
      </c>
      <c r="L327" s="142">
        <v>4244.4</v>
      </c>
      <c r="M327" s="143">
        <v>4300</v>
      </c>
      <c r="N327" s="144">
        <v>300</v>
      </c>
      <c r="O327" s="143">
        <f t="shared" si="66"/>
        <v>4000</v>
      </c>
      <c r="P327" s="140">
        <v>27</v>
      </c>
      <c r="Q327" s="159">
        <f t="shared" si="67"/>
        <v>108000</v>
      </c>
      <c r="R327" s="140">
        <v>1000</v>
      </c>
      <c r="S327" s="151">
        <f t="shared" si="71"/>
        <v>27000</v>
      </c>
      <c r="T327" s="142">
        <v>1000</v>
      </c>
      <c r="U327" s="151">
        <f t="shared" si="72"/>
        <v>27000</v>
      </c>
      <c r="V327" s="140">
        <v>1000</v>
      </c>
      <c r="W327" s="151">
        <f t="shared" si="73"/>
        <v>27000</v>
      </c>
      <c r="X327" s="142">
        <v>1000</v>
      </c>
      <c r="Y327" s="151">
        <f t="shared" si="74"/>
        <v>27000</v>
      </c>
      <c r="Z327" s="146"/>
      <c r="AA327" s="155">
        <f t="shared" si="75"/>
        <v>4000</v>
      </c>
      <c r="AB327" s="155">
        <f t="shared" si="69"/>
        <v>0</v>
      </c>
      <c r="AC327" s="149">
        <f t="shared" si="78"/>
        <v>1000</v>
      </c>
      <c r="AD327" s="156">
        <f t="shared" si="79"/>
        <v>27000</v>
      </c>
      <c r="AG327" s="149">
        <v>3537</v>
      </c>
      <c r="AH327" s="149">
        <v>95499</v>
      </c>
      <c r="AI327" s="150" t="s">
        <v>1355</v>
      </c>
      <c r="AJ327" s="206">
        <f t="shared" si="65"/>
        <v>4244.4</v>
      </c>
      <c r="AL327" s="149">
        <f t="shared" si="80"/>
        <v>0</v>
      </c>
    </row>
    <row r="328" spans="1:38" ht="15">
      <c r="A328" s="140">
        <v>10949</v>
      </c>
      <c r="B328" s="140">
        <v>308</v>
      </c>
      <c r="C328" s="146" t="s">
        <v>1034</v>
      </c>
      <c r="D328" s="147" t="s">
        <v>1033</v>
      </c>
      <c r="E328" s="191" t="s">
        <v>403</v>
      </c>
      <c r="F328" s="153">
        <v>1</v>
      </c>
      <c r="G328" s="154" t="s">
        <v>1248</v>
      </c>
      <c r="H328" s="140">
        <v>1000</v>
      </c>
      <c r="I328" s="140" t="s">
        <v>1250</v>
      </c>
      <c r="J328" s="140">
        <v>7515</v>
      </c>
      <c r="K328" s="142">
        <v>9845</v>
      </c>
      <c r="L328" s="142">
        <v>8098.799999999999</v>
      </c>
      <c r="M328" s="143">
        <v>8900</v>
      </c>
      <c r="N328" s="144">
        <v>500</v>
      </c>
      <c r="O328" s="143">
        <f t="shared" si="66"/>
        <v>8400</v>
      </c>
      <c r="P328" s="140">
        <v>30</v>
      </c>
      <c r="Q328" s="159">
        <f t="shared" si="67"/>
        <v>252000</v>
      </c>
      <c r="R328" s="140">
        <v>2200</v>
      </c>
      <c r="S328" s="151">
        <f t="shared" si="71"/>
        <v>66000</v>
      </c>
      <c r="T328" s="142">
        <v>2000</v>
      </c>
      <c r="U328" s="151">
        <f t="shared" si="72"/>
        <v>60000</v>
      </c>
      <c r="V328" s="140">
        <v>2200</v>
      </c>
      <c r="W328" s="151">
        <f t="shared" si="73"/>
        <v>66000</v>
      </c>
      <c r="X328" s="142">
        <v>2000</v>
      </c>
      <c r="Y328" s="151">
        <f t="shared" si="74"/>
        <v>60000</v>
      </c>
      <c r="Z328" s="146"/>
      <c r="AA328" s="155">
        <f t="shared" si="75"/>
        <v>8400</v>
      </c>
      <c r="AB328" s="155">
        <f t="shared" si="69"/>
        <v>0</v>
      </c>
      <c r="AC328" s="149">
        <f t="shared" si="78"/>
        <v>2100</v>
      </c>
      <c r="AD328" s="156">
        <f t="shared" si="79"/>
        <v>63000</v>
      </c>
      <c r="AG328" s="149">
        <v>6749</v>
      </c>
      <c r="AH328" s="149">
        <v>192346.5</v>
      </c>
      <c r="AI328" s="150" t="s">
        <v>1301</v>
      </c>
      <c r="AJ328" s="206">
        <f t="shared" si="65"/>
        <v>8098.799999999999</v>
      </c>
      <c r="AL328" s="149">
        <f>AK328</f>
        <v>0</v>
      </c>
    </row>
    <row r="329" spans="1:38" ht="15">
      <c r="A329" s="140">
        <v>10949</v>
      </c>
      <c r="B329" s="140">
        <v>309</v>
      </c>
      <c r="C329" s="146" t="s">
        <v>1039</v>
      </c>
      <c r="D329" s="147" t="s">
        <v>1038</v>
      </c>
      <c r="E329" s="191" t="s">
        <v>403</v>
      </c>
      <c r="F329" s="153">
        <v>1</v>
      </c>
      <c r="G329" s="154" t="s">
        <v>1248</v>
      </c>
      <c r="H329" s="140">
        <v>100</v>
      </c>
      <c r="I329" s="140" t="s">
        <v>1250</v>
      </c>
      <c r="J329" s="140">
        <v>16756</v>
      </c>
      <c r="K329" s="142">
        <v>17538</v>
      </c>
      <c r="L329" s="142">
        <v>12080.400000000001</v>
      </c>
      <c r="M329" s="143">
        <v>15000</v>
      </c>
      <c r="N329" s="144">
        <v>3000</v>
      </c>
      <c r="O329" s="143">
        <f t="shared" si="66"/>
        <v>12000</v>
      </c>
      <c r="P329" s="140">
        <v>13</v>
      </c>
      <c r="Q329" s="159">
        <f t="shared" si="67"/>
        <v>156000</v>
      </c>
      <c r="R329" s="140">
        <v>3000</v>
      </c>
      <c r="S329" s="151">
        <f t="shared" si="71"/>
        <v>39000</v>
      </c>
      <c r="T329" s="142">
        <v>3000</v>
      </c>
      <c r="U329" s="151">
        <f t="shared" si="72"/>
        <v>39000</v>
      </c>
      <c r="V329" s="140">
        <v>3000</v>
      </c>
      <c r="W329" s="151">
        <f t="shared" si="73"/>
        <v>39000</v>
      </c>
      <c r="X329" s="142">
        <v>3000</v>
      </c>
      <c r="Y329" s="151">
        <f t="shared" si="74"/>
        <v>39000</v>
      </c>
      <c r="Z329" s="146"/>
      <c r="AA329" s="155">
        <f t="shared" si="75"/>
        <v>12000</v>
      </c>
      <c r="AB329" s="155">
        <f t="shared" si="69"/>
        <v>0</v>
      </c>
      <c r="AC329" s="149">
        <f t="shared" si="78"/>
        <v>3000</v>
      </c>
      <c r="AD329" s="156">
        <f t="shared" si="79"/>
        <v>39000</v>
      </c>
      <c r="AG329" s="149">
        <v>10067</v>
      </c>
      <c r="AH329" s="149">
        <v>120804</v>
      </c>
      <c r="AI329" s="150" t="s">
        <v>1301</v>
      </c>
      <c r="AJ329" s="206">
        <f t="shared" si="65"/>
        <v>12080.400000000001</v>
      </c>
      <c r="AL329" s="149">
        <f>AK329</f>
        <v>0</v>
      </c>
    </row>
    <row r="330" spans="1:38" ht="15">
      <c r="A330" s="140">
        <v>10949</v>
      </c>
      <c r="B330" s="140">
        <v>310</v>
      </c>
      <c r="C330" s="146" t="s">
        <v>1045</v>
      </c>
      <c r="D330" s="147" t="s">
        <v>1044</v>
      </c>
      <c r="E330" s="191" t="s">
        <v>460</v>
      </c>
      <c r="F330" s="153">
        <v>1</v>
      </c>
      <c r="G330" s="154" t="s">
        <v>1248</v>
      </c>
      <c r="H330" s="140">
        <v>1</v>
      </c>
      <c r="I330" s="140" t="s">
        <v>388</v>
      </c>
      <c r="J330" s="140">
        <v>62</v>
      </c>
      <c r="K330" s="142">
        <v>84</v>
      </c>
      <c r="L330" s="142">
        <v>63.599999999999994</v>
      </c>
      <c r="M330" s="143">
        <v>70</v>
      </c>
      <c r="N330" s="144">
        <v>30</v>
      </c>
      <c r="O330" s="143">
        <f t="shared" si="66"/>
        <v>40</v>
      </c>
      <c r="P330" s="140">
        <v>31</v>
      </c>
      <c r="Q330" s="159">
        <f t="shared" si="67"/>
        <v>1240</v>
      </c>
      <c r="R330" s="140">
        <v>0</v>
      </c>
      <c r="S330" s="151">
        <f t="shared" si="71"/>
        <v>0</v>
      </c>
      <c r="T330" s="142">
        <v>0</v>
      </c>
      <c r="U330" s="151">
        <f t="shared" si="72"/>
        <v>0</v>
      </c>
      <c r="V330" s="140">
        <v>40</v>
      </c>
      <c r="W330" s="151">
        <f t="shared" si="73"/>
        <v>1240</v>
      </c>
      <c r="X330" s="142">
        <v>0</v>
      </c>
      <c r="Y330" s="151">
        <f t="shared" si="74"/>
        <v>0</v>
      </c>
      <c r="Z330" s="146"/>
      <c r="AA330" s="155">
        <f t="shared" si="75"/>
        <v>40</v>
      </c>
      <c r="AB330" s="155">
        <f t="shared" si="69"/>
        <v>0</v>
      </c>
      <c r="AC330" s="149">
        <f t="shared" si="78"/>
        <v>10</v>
      </c>
      <c r="AD330" s="156">
        <f t="shared" si="79"/>
        <v>310</v>
      </c>
      <c r="AG330" s="149">
        <v>53</v>
      </c>
      <c r="AH330" s="149">
        <v>1611.2000000000005</v>
      </c>
      <c r="AI330" s="150" t="s">
        <v>1300</v>
      </c>
      <c r="AJ330" s="206">
        <f t="shared" si="65"/>
        <v>63.599999999999994</v>
      </c>
      <c r="AL330" s="149">
        <f aca="true" t="shared" si="81" ref="AL330:AL381">AK330/H330</f>
        <v>0</v>
      </c>
    </row>
    <row r="331" spans="1:38" ht="15">
      <c r="A331" s="130" t="s">
        <v>1199</v>
      </c>
      <c r="B331" s="130" t="s">
        <v>2</v>
      </c>
      <c r="C331" s="130" t="s">
        <v>1200</v>
      </c>
      <c r="D331" s="198" t="s">
        <v>1201</v>
      </c>
      <c r="E331" s="134" t="s">
        <v>1285</v>
      </c>
      <c r="F331" s="134" t="s">
        <v>1295</v>
      </c>
      <c r="G331" s="134" t="s">
        <v>1202</v>
      </c>
      <c r="H331" s="130" t="s">
        <v>1579</v>
      </c>
      <c r="I331" s="130" t="s">
        <v>1203</v>
      </c>
      <c r="J331" s="199"/>
      <c r="K331" s="131" t="s">
        <v>1205</v>
      </c>
      <c r="L331" s="132"/>
      <c r="M331" s="133" t="s">
        <v>0</v>
      </c>
      <c r="N331" s="134" t="s">
        <v>1214</v>
      </c>
      <c r="O331" s="133" t="s">
        <v>0</v>
      </c>
      <c r="P331" s="130" t="s">
        <v>1390</v>
      </c>
      <c r="Q331" s="200" t="s">
        <v>1206</v>
      </c>
      <c r="R331" s="201" t="s">
        <v>1289</v>
      </c>
      <c r="S331" s="132"/>
      <c r="T331" s="201" t="s">
        <v>1290</v>
      </c>
      <c r="U331" s="202"/>
      <c r="V331" s="201" t="s">
        <v>1291</v>
      </c>
      <c r="W331" s="132"/>
      <c r="X331" s="201" t="s">
        <v>1292</v>
      </c>
      <c r="Y331" s="202"/>
      <c r="Z331" s="203" t="s">
        <v>608</v>
      </c>
      <c r="AA331" s="204"/>
      <c r="AB331" s="204"/>
      <c r="AC331" s="149" t="s">
        <v>1318</v>
      </c>
      <c r="AD331" s="149" t="s">
        <v>1389</v>
      </c>
      <c r="AE331" s="205" t="s">
        <v>3</v>
      </c>
      <c r="AF331" s="205" t="s">
        <v>1349</v>
      </c>
      <c r="AG331" s="149" t="s">
        <v>1297</v>
      </c>
      <c r="AH331" s="149" t="s">
        <v>6</v>
      </c>
      <c r="AI331" s="150" t="s">
        <v>1307</v>
      </c>
      <c r="AJ331" s="206" t="s">
        <v>1303</v>
      </c>
      <c r="AK331" s="149" t="s">
        <v>4</v>
      </c>
      <c r="AL331" s="149" t="s">
        <v>1304</v>
      </c>
    </row>
    <row r="332" spans="1:35" ht="15">
      <c r="A332" s="135"/>
      <c r="B332" s="139"/>
      <c r="C332" s="207"/>
      <c r="D332" s="208"/>
      <c r="E332" s="136"/>
      <c r="F332" s="136" t="s">
        <v>1294</v>
      </c>
      <c r="G332" s="136"/>
      <c r="H332" s="139" t="s">
        <v>1204</v>
      </c>
      <c r="I332" s="136" t="s">
        <v>1204</v>
      </c>
      <c r="J332" s="136">
        <v>2562</v>
      </c>
      <c r="K332" s="136">
        <v>2563</v>
      </c>
      <c r="L332" s="137">
        <v>2564</v>
      </c>
      <c r="M332" s="138" t="s">
        <v>1537</v>
      </c>
      <c r="N332" s="136" t="s">
        <v>4</v>
      </c>
      <c r="O332" s="138" t="s">
        <v>1538</v>
      </c>
      <c r="P332" s="139" t="s">
        <v>1286</v>
      </c>
      <c r="Q332" s="209" t="s">
        <v>1391</v>
      </c>
      <c r="R332" s="210" t="s">
        <v>5</v>
      </c>
      <c r="S332" s="139" t="s">
        <v>1208</v>
      </c>
      <c r="T332" s="139" t="s">
        <v>5</v>
      </c>
      <c r="U332" s="211" t="s">
        <v>1208</v>
      </c>
      <c r="V332" s="210" t="s">
        <v>5</v>
      </c>
      <c r="W332" s="139" t="s">
        <v>1208</v>
      </c>
      <c r="X332" s="139" t="s">
        <v>5</v>
      </c>
      <c r="Y332" s="211" t="s">
        <v>1208</v>
      </c>
      <c r="Z332" s="207"/>
      <c r="AA332" s="197"/>
      <c r="AB332" s="197"/>
      <c r="AG332" s="149" t="s">
        <v>1494</v>
      </c>
      <c r="AH332" s="149" t="s">
        <v>1207</v>
      </c>
      <c r="AI332" s="150" t="s">
        <v>1308</v>
      </c>
    </row>
    <row r="333" spans="1:38" ht="15">
      <c r="A333" s="140">
        <v>10949</v>
      </c>
      <c r="B333" s="140">
        <v>311</v>
      </c>
      <c r="C333" s="146" t="s">
        <v>1047</v>
      </c>
      <c r="D333" s="147" t="s">
        <v>1046</v>
      </c>
      <c r="E333" s="191" t="s">
        <v>479</v>
      </c>
      <c r="F333" s="153">
        <v>1</v>
      </c>
      <c r="G333" s="154" t="s">
        <v>1245</v>
      </c>
      <c r="H333" s="140">
        <v>100</v>
      </c>
      <c r="I333" s="140" t="s">
        <v>376</v>
      </c>
      <c r="J333" s="140">
        <v>190</v>
      </c>
      <c r="K333" s="142">
        <v>165</v>
      </c>
      <c r="L333" s="142">
        <v>199.20000000000002</v>
      </c>
      <c r="M333" s="143">
        <v>200</v>
      </c>
      <c r="N333" s="144">
        <v>40</v>
      </c>
      <c r="O333" s="143">
        <f t="shared" si="66"/>
        <v>160</v>
      </c>
      <c r="P333" s="163">
        <v>127</v>
      </c>
      <c r="Q333" s="159">
        <f t="shared" si="67"/>
        <v>20320</v>
      </c>
      <c r="R333" s="140">
        <v>40</v>
      </c>
      <c r="S333" s="151">
        <f t="shared" si="71"/>
        <v>5080</v>
      </c>
      <c r="T333" s="142">
        <v>40</v>
      </c>
      <c r="U333" s="151">
        <f t="shared" si="72"/>
        <v>5080</v>
      </c>
      <c r="V333" s="140">
        <v>40</v>
      </c>
      <c r="W333" s="151">
        <f t="shared" si="73"/>
        <v>5080</v>
      </c>
      <c r="X333" s="142">
        <v>40</v>
      </c>
      <c r="Y333" s="151">
        <f t="shared" si="74"/>
        <v>5080</v>
      </c>
      <c r="Z333" s="146"/>
      <c r="AA333" s="155">
        <f t="shared" si="75"/>
        <v>160</v>
      </c>
      <c r="AB333" s="155">
        <f t="shared" si="69"/>
        <v>0</v>
      </c>
      <c r="AC333" s="149">
        <f t="shared" si="78"/>
        <v>40</v>
      </c>
      <c r="AD333" s="156">
        <f t="shared" si="79"/>
        <v>5080</v>
      </c>
      <c r="AG333" s="149">
        <v>166</v>
      </c>
      <c r="AH333" s="149">
        <v>20770</v>
      </c>
      <c r="AI333" s="150" t="s">
        <v>1356</v>
      </c>
      <c r="AJ333" s="206">
        <f t="shared" si="65"/>
        <v>199.20000000000002</v>
      </c>
      <c r="AL333" s="149">
        <f t="shared" si="81"/>
        <v>0</v>
      </c>
    </row>
    <row r="334" spans="1:38" ht="15">
      <c r="A334" s="140">
        <v>10949</v>
      </c>
      <c r="B334" s="140">
        <v>312</v>
      </c>
      <c r="C334" s="146" t="s">
        <v>1049</v>
      </c>
      <c r="D334" s="147" t="s">
        <v>1048</v>
      </c>
      <c r="E334" s="191" t="s">
        <v>480</v>
      </c>
      <c r="F334" s="153">
        <v>1</v>
      </c>
      <c r="G334" s="154" t="s">
        <v>1245</v>
      </c>
      <c r="H334" s="140">
        <v>30</v>
      </c>
      <c r="I334" s="140" t="s">
        <v>376</v>
      </c>
      <c r="J334" s="140">
        <v>348</v>
      </c>
      <c r="K334" s="142">
        <v>451</v>
      </c>
      <c r="L334" s="142">
        <v>603.5999999999999</v>
      </c>
      <c r="M334" s="143">
        <v>650</v>
      </c>
      <c r="N334" s="144">
        <v>50</v>
      </c>
      <c r="O334" s="143">
        <f t="shared" si="66"/>
        <v>600</v>
      </c>
      <c r="P334" s="160">
        <v>301.73999999999995</v>
      </c>
      <c r="Q334" s="159">
        <f t="shared" si="67"/>
        <v>181043.99999999997</v>
      </c>
      <c r="R334" s="140">
        <v>150</v>
      </c>
      <c r="S334" s="151">
        <f t="shared" si="71"/>
        <v>45260.99999999999</v>
      </c>
      <c r="T334" s="142">
        <v>150</v>
      </c>
      <c r="U334" s="151">
        <f t="shared" si="72"/>
        <v>45260.99999999999</v>
      </c>
      <c r="V334" s="140">
        <v>150</v>
      </c>
      <c r="W334" s="151">
        <f t="shared" si="73"/>
        <v>45260.99999999999</v>
      </c>
      <c r="X334" s="142">
        <v>150</v>
      </c>
      <c r="Y334" s="151">
        <f t="shared" si="74"/>
        <v>45260.99999999999</v>
      </c>
      <c r="Z334" s="146"/>
      <c r="AA334" s="155">
        <f t="shared" si="75"/>
        <v>600</v>
      </c>
      <c r="AB334" s="155">
        <f t="shared" si="69"/>
        <v>0</v>
      </c>
      <c r="AC334" s="149">
        <f t="shared" si="78"/>
        <v>150</v>
      </c>
      <c r="AD334" s="156">
        <f t="shared" si="79"/>
        <v>45260.99999999999</v>
      </c>
      <c r="AG334" s="149">
        <v>503</v>
      </c>
      <c r="AH334" s="149">
        <v>151775.22000000003</v>
      </c>
      <c r="AI334" s="150" t="s">
        <v>1356</v>
      </c>
      <c r="AJ334" s="206">
        <f t="shared" si="65"/>
        <v>603.5999999999999</v>
      </c>
      <c r="AL334" s="149">
        <f t="shared" si="81"/>
        <v>0</v>
      </c>
    </row>
    <row r="335" spans="1:38" ht="15">
      <c r="A335" s="140">
        <v>10949</v>
      </c>
      <c r="B335" s="140">
        <v>313</v>
      </c>
      <c r="C335" s="146" t="s">
        <v>1051</v>
      </c>
      <c r="D335" s="147" t="s">
        <v>1050</v>
      </c>
      <c r="E335" s="152" t="s">
        <v>566</v>
      </c>
      <c r="F335" s="153">
        <v>1</v>
      </c>
      <c r="G335" s="146" t="s">
        <v>1254</v>
      </c>
      <c r="H335" s="140">
        <v>60</v>
      </c>
      <c r="I335" s="140" t="s">
        <v>1250</v>
      </c>
      <c r="J335" s="140">
        <v>29</v>
      </c>
      <c r="K335" s="142">
        <v>0</v>
      </c>
      <c r="L335" s="142">
        <v>38.400000000000006</v>
      </c>
      <c r="M335" s="143">
        <v>24</v>
      </c>
      <c r="N335" s="144">
        <v>0</v>
      </c>
      <c r="O335" s="143">
        <f t="shared" si="66"/>
        <v>24</v>
      </c>
      <c r="P335" s="160">
        <v>134.82</v>
      </c>
      <c r="Q335" s="159">
        <f t="shared" si="67"/>
        <v>3235.68</v>
      </c>
      <c r="R335" s="140">
        <v>6</v>
      </c>
      <c r="S335" s="151">
        <f t="shared" si="71"/>
        <v>808.92</v>
      </c>
      <c r="T335" s="142">
        <v>6</v>
      </c>
      <c r="U335" s="151">
        <f t="shared" si="72"/>
        <v>808.92</v>
      </c>
      <c r="V335" s="140">
        <v>6</v>
      </c>
      <c r="W335" s="151">
        <f t="shared" si="73"/>
        <v>808.92</v>
      </c>
      <c r="X335" s="142">
        <v>6</v>
      </c>
      <c r="Y335" s="151">
        <f t="shared" si="74"/>
        <v>808.92</v>
      </c>
      <c r="Z335" s="146"/>
      <c r="AA335" s="155">
        <f t="shared" si="75"/>
        <v>24</v>
      </c>
      <c r="AB335" s="155">
        <f t="shared" si="69"/>
        <v>0</v>
      </c>
      <c r="AC335" s="149">
        <f t="shared" si="78"/>
        <v>6</v>
      </c>
      <c r="AD335" s="156">
        <f t="shared" si="79"/>
        <v>808.92</v>
      </c>
      <c r="AG335" s="149">
        <v>32</v>
      </c>
      <c r="AH335" s="149">
        <v>4314.24</v>
      </c>
      <c r="AI335" s="150" t="s">
        <v>1352</v>
      </c>
      <c r="AJ335" s="206">
        <f aca="true" t="shared" si="82" ref="AJ335:AJ402">AG335/10*12</f>
        <v>38.400000000000006</v>
      </c>
      <c r="AL335" s="149">
        <f t="shared" si="81"/>
        <v>0</v>
      </c>
    </row>
    <row r="336" spans="1:38" ht="15">
      <c r="A336" s="140">
        <v>10949</v>
      </c>
      <c r="B336" s="140">
        <v>314</v>
      </c>
      <c r="C336" s="146" t="s">
        <v>1053</v>
      </c>
      <c r="D336" s="147" t="s">
        <v>1052</v>
      </c>
      <c r="E336" s="152" t="s">
        <v>452</v>
      </c>
      <c r="F336" s="153">
        <v>1</v>
      </c>
      <c r="G336" s="146" t="s">
        <v>1257</v>
      </c>
      <c r="H336" s="140">
        <v>180</v>
      </c>
      <c r="I336" s="140" t="s">
        <v>1250</v>
      </c>
      <c r="J336" s="140">
        <v>358</v>
      </c>
      <c r="K336" s="142">
        <v>488</v>
      </c>
      <c r="L336" s="142">
        <v>468</v>
      </c>
      <c r="M336" s="143">
        <v>470</v>
      </c>
      <c r="N336" s="144">
        <v>70</v>
      </c>
      <c r="O336" s="143">
        <f t="shared" si="66"/>
        <v>400</v>
      </c>
      <c r="P336" s="140">
        <v>25</v>
      </c>
      <c r="Q336" s="159">
        <f t="shared" si="67"/>
        <v>10000</v>
      </c>
      <c r="R336" s="140">
        <v>100</v>
      </c>
      <c r="S336" s="151">
        <f t="shared" si="71"/>
        <v>2500</v>
      </c>
      <c r="T336" s="142">
        <v>100</v>
      </c>
      <c r="U336" s="151">
        <f t="shared" si="72"/>
        <v>2500</v>
      </c>
      <c r="V336" s="140">
        <v>100</v>
      </c>
      <c r="W336" s="151">
        <f t="shared" si="73"/>
        <v>2500</v>
      </c>
      <c r="X336" s="142">
        <v>100</v>
      </c>
      <c r="Y336" s="151">
        <f t="shared" si="74"/>
        <v>2500</v>
      </c>
      <c r="Z336" s="146"/>
      <c r="AA336" s="155">
        <f t="shared" si="75"/>
        <v>400</v>
      </c>
      <c r="AB336" s="155">
        <f t="shared" si="69"/>
        <v>0</v>
      </c>
      <c r="AC336" s="149">
        <f t="shared" si="78"/>
        <v>100</v>
      </c>
      <c r="AD336" s="156">
        <f t="shared" si="79"/>
        <v>2500</v>
      </c>
      <c r="AG336" s="149">
        <v>390</v>
      </c>
      <c r="AH336" s="149">
        <v>9750</v>
      </c>
      <c r="AI336" s="150" t="s">
        <v>1356</v>
      </c>
      <c r="AJ336" s="206">
        <f t="shared" si="82"/>
        <v>468</v>
      </c>
      <c r="AL336" s="149">
        <f t="shared" si="81"/>
        <v>0</v>
      </c>
    </row>
    <row r="337" spans="1:38" ht="15">
      <c r="A337" s="140">
        <v>10949</v>
      </c>
      <c r="B337" s="140">
        <v>315</v>
      </c>
      <c r="C337" s="146" t="s">
        <v>1055</v>
      </c>
      <c r="D337" s="147" t="s">
        <v>1054</v>
      </c>
      <c r="E337" s="191" t="s">
        <v>187</v>
      </c>
      <c r="F337" s="153">
        <v>1</v>
      </c>
      <c r="G337" s="154" t="s">
        <v>1245</v>
      </c>
      <c r="H337" s="140">
        <v>100</v>
      </c>
      <c r="I337" s="140" t="s">
        <v>376</v>
      </c>
      <c r="J337" s="140">
        <f>23*500/100</f>
        <v>115</v>
      </c>
      <c r="K337" s="142">
        <v>115</v>
      </c>
      <c r="L337" s="142">
        <v>174</v>
      </c>
      <c r="M337" s="143">
        <v>180</v>
      </c>
      <c r="N337" s="144">
        <v>40</v>
      </c>
      <c r="O337" s="143">
        <f aca="true" t="shared" si="83" ref="O337:O409">M337-N337</f>
        <v>140</v>
      </c>
      <c r="P337" s="140">
        <v>68</v>
      </c>
      <c r="Q337" s="159">
        <f aca="true" t="shared" si="84" ref="Q337:Q404">P337*O337</f>
        <v>9520</v>
      </c>
      <c r="R337" s="140">
        <v>40</v>
      </c>
      <c r="S337" s="151">
        <f t="shared" si="71"/>
        <v>2720</v>
      </c>
      <c r="T337" s="142">
        <v>30</v>
      </c>
      <c r="U337" s="151">
        <f t="shared" si="72"/>
        <v>2040</v>
      </c>
      <c r="V337" s="140">
        <v>40</v>
      </c>
      <c r="W337" s="151">
        <f t="shared" si="73"/>
        <v>2720</v>
      </c>
      <c r="X337" s="142">
        <v>30</v>
      </c>
      <c r="Y337" s="151">
        <f t="shared" si="74"/>
        <v>2040</v>
      </c>
      <c r="Z337" s="146"/>
      <c r="AA337" s="155">
        <f t="shared" si="75"/>
        <v>140</v>
      </c>
      <c r="AB337" s="155">
        <f t="shared" si="69"/>
        <v>0</v>
      </c>
      <c r="AC337" s="149">
        <f t="shared" si="78"/>
        <v>35</v>
      </c>
      <c r="AD337" s="156">
        <f t="shared" si="79"/>
        <v>2380</v>
      </c>
      <c r="AG337" s="149">
        <v>145</v>
      </c>
      <c r="AH337" s="149">
        <v>9860</v>
      </c>
      <c r="AI337" s="150" t="s">
        <v>1352</v>
      </c>
      <c r="AJ337" s="206">
        <f t="shared" si="82"/>
        <v>174</v>
      </c>
      <c r="AL337" s="149">
        <f t="shared" si="81"/>
        <v>0</v>
      </c>
    </row>
    <row r="338" spans="1:38" ht="15">
      <c r="A338" s="140">
        <v>10949</v>
      </c>
      <c r="B338" s="140">
        <v>316</v>
      </c>
      <c r="C338" s="146" t="s">
        <v>1057</v>
      </c>
      <c r="D338" s="147" t="s">
        <v>1056</v>
      </c>
      <c r="E338" s="191" t="s">
        <v>1231</v>
      </c>
      <c r="F338" s="153">
        <v>1</v>
      </c>
      <c r="G338" s="154" t="s">
        <v>1248</v>
      </c>
      <c r="H338" s="140">
        <v>1</v>
      </c>
      <c r="I338" s="140" t="s">
        <v>392</v>
      </c>
      <c r="J338" s="140">
        <v>5</v>
      </c>
      <c r="K338" s="142">
        <v>3</v>
      </c>
      <c r="L338" s="142">
        <v>10.8</v>
      </c>
      <c r="M338" s="143">
        <v>12</v>
      </c>
      <c r="N338" s="144">
        <v>0</v>
      </c>
      <c r="O338" s="143">
        <f t="shared" si="83"/>
        <v>12</v>
      </c>
      <c r="P338" s="140">
        <v>6000</v>
      </c>
      <c r="Q338" s="159">
        <f t="shared" si="84"/>
        <v>72000</v>
      </c>
      <c r="R338" s="140">
        <v>3</v>
      </c>
      <c r="S338" s="151">
        <f t="shared" si="71"/>
        <v>18000</v>
      </c>
      <c r="T338" s="142">
        <v>3</v>
      </c>
      <c r="U338" s="151">
        <f t="shared" si="72"/>
        <v>18000</v>
      </c>
      <c r="V338" s="140">
        <v>3</v>
      </c>
      <c r="W338" s="151">
        <f t="shared" si="73"/>
        <v>18000</v>
      </c>
      <c r="X338" s="142">
        <v>3</v>
      </c>
      <c r="Y338" s="151">
        <f t="shared" si="74"/>
        <v>18000</v>
      </c>
      <c r="Z338" s="146"/>
      <c r="AA338" s="155">
        <f t="shared" si="75"/>
        <v>12</v>
      </c>
      <c r="AB338" s="155">
        <f t="shared" si="69"/>
        <v>0</v>
      </c>
      <c r="AC338" s="149">
        <f t="shared" si="78"/>
        <v>3</v>
      </c>
      <c r="AD338" s="156">
        <f t="shared" si="79"/>
        <v>18000</v>
      </c>
      <c r="AG338" s="149">
        <v>9</v>
      </c>
      <c r="AH338" s="149">
        <v>50400</v>
      </c>
      <c r="AI338" s="150" t="s">
        <v>1302</v>
      </c>
      <c r="AJ338" s="206">
        <f t="shared" si="82"/>
        <v>10.8</v>
      </c>
      <c r="AL338" s="149">
        <f t="shared" si="81"/>
        <v>0</v>
      </c>
    </row>
    <row r="339" spans="1:38" ht="15">
      <c r="A339" s="140">
        <v>10949</v>
      </c>
      <c r="B339" s="140">
        <v>317</v>
      </c>
      <c r="C339" s="146" t="s">
        <v>1059</v>
      </c>
      <c r="D339" s="147" t="s">
        <v>1058</v>
      </c>
      <c r="E339" s="191" t="s">
        <v>189</v>
      </c>
      <c r="F339" s="153">
        <v>1</v>
      </c>
      <c r="G339" s="154" t="s">
        <v>1248</v>
      </c>
      <c r="H339" s="140">
        <v>1</v>
      </c>
      <c r="I339" s="140" t="s">
        <v>392</v>
      </c>
      <c r="J339" s="140">
        <v>169</v>
      </c>
      <c r="K339" s="142">
        <v>126</v>
      </c>
      <c r="L339" s="142">
        <v>56.400000000000006</v>
      </c>
      <c r="M339" s="143">
        <v>120</v>
      </c>
      <c r="N339" s="144">
        <v>20</v>
      </c>
      <c r="O339" s="143">
        <f t="shared" si="83"/>
        <v>100</v>
      </c>
      <c r="P339" s="140">
        <v>20</v>
      </c>
      <c r="Q339" s="159">
        <f t="shared" si="84"/>
        <v>2000</v>
      </c>
      <c r="R339" s="140">
        <v>0</v>
      </c>
      <c r="S339" s="151">
        <f t="shared" si="71"/>
        <v>0</v>
      </c>
      <c r="T339" s="142">
        <v>100</v>
      </c>
      <c r="U339" s="151">
        <f t="shared" si="72"/>
        <v>2000</v>
      </c>
      <c r="V339" s="140">
        <v>0</v>
      </c>
      <c r="W339" s="151">
        <f t="shared" si="73"/>
        <v>0</v>
      </c>
      <c r="X339" s="142">
        <v>0</v>
      </c>
      <c r="Y339" s="151">
        <f t="shared" si="74"/>
        <v>0</v>
      </c>
      <c r="Z339" s="146"/>
      <c r="AA339" s="155">
        <f t="shared" si="75"/>
        <v>100</v>
      </c>
      <c r="AB339" s="155">
        <f t="shared" si="69"/>
        <v>0</v>
      </c>
      <c r="AC339" s="149">
        <f t="shared" si="78"/>
        <v>25</v>
      </c>
      <c r="AD339" s="156">
        <f t="shared" si="79"/>
        <v>500</v>
      </c>
      <c r="AG339" s="149">
        <v>47</v>
      </c>
      <c r="AH339" s="149">
        <v>713.46</v>
      </c>
      <c r="AI339" s="150" t="s">
        <v>1300</v>
      </c>
      <c r="AJ339" s="206">
        <f t="shared" si="82"/>
        <v>56.400000000000006</v>
      </c>
      <c r="AL339" s="149">
        <f t="shared" si="81"/>
        <v>0</v>
      </c>
    </row>
    <row r="340" spans="1:38" ht="15">
      <c r="A340" s="140">
        <v>10949</v>
      </c>
      <c r="B340" s="140">
        <v>318</v>
      </c>
      <c r="C340" s="146" t="s">
        <v>1061</v>
      </c>
      <c r="D340" s="147" t="s">
        <v>1060</v>
      </c>
      <c r="E340" s="152" t="s">
        <v>482</v>
      </c>
      <c r="F340" s="188">
        <v>1</v>
      </c>
      <c r="G340" s="146" t="s">
        <v>1248</v>
      </c>
      <c r="H340" s="140">
        <v>1</v>
      </c>
      <c r="I340" s="140" t="s">
        <v>392</v>
      </c>
      <c r="J340" s="140">
        <v>0</v>
      </c>
      <c r="K340" s="142">
        <v>0</v>
      </c>
      <c r="L340" s="142">
        <v>0</v>
      </c>
      <c r="M340" s="143">
        <v>0</v>
      </c>
      <c r="N340" s="144">
        <v>0</v>
      </c>
      <c r="O340" s="143">
        <f t="shared" si="83"/>
        <v>0</v>
      </c>
      <c r="P340" s="159">
        <v>781.1</v>
      </c>
      <c r="Q340" s="159">
        <f t="shared" si="84"/>
        <v>0</v>
      </c>
      <c r="R340" s="140">
        <v>0</v>
      </c>
      <c r="S340" s="151">
        <f t="shared" si="71"/>
        <v>0</v>
      </c>
      <c r="T340" s="142">
        <v>0</v>
      </c>
      <c r="U340" s="151">
        <f t="shared" si="72"/>
        <v>0</v>
      </c>
      <c r="V340" s="140">
        <v>0</v>
      </c>
      <c r="W340" s="151">
        <f t="shared" si="73"/>
        <v>0</v>
      </c>
      <c r="X340" s="142">
        <v>0</v>
      </c>
      <c r="Y340" s="151">
        <f t="shared" si="74"/>
        <v>0</v>
      </c>
      <c r="Z340" s="215"/>
      <c r="AA340" s="155">
        <f t="shared" si="75"/>
        <v>0</v>
      </c>
      <c r="AB340" s="155">
        <f t="shared" si="69"/>
        <v>0</v>
      </c>
      <c r="AC340" s="149">
        <f t="shared" si="78"/>
        <v>0</v>
      </c>
      <c r="AD340" s="156">
        <f t="shared" si="79"/>
        <v>0</v>
      </c>
      <c r="AG340" s="214"/>
      <c r="AH340" s="214"/>
      <c r="AJ340" s="206">
        <f t="shared" si="82"/>
        <v>0</v>
      </c>
      <c r="AL340" s="149">
        <f t="shared" si="81"/>
        <v>0</v>
      </c>
    </row>
    <row r="341" spans="1:38" ht="15">
      <c r="A341" s="140">
        <v>10949</v>
      </c>
      <c r="B341" s="140">
        <v>319</v>
      </c>
      <c r="C341" s="146"/>
      <c r="D341" s="147"/>
      <c r="E341" s="152" t="s">
        <v>1487</v>
      </c>
      <c r="F341" s="188">
        <v>1</v>
      </c>
      <c r="G341" s="146" t="s">
        <v>1261</v>
      </c>
      <c r="H341" s="140">
        <v>1</v>
      </c>
      <c r="I341" s="140" t="s">
        <v>1477</v>
      </c>
      <c r="J341" s="140">
        <v>17</v>
      </c>
      <c r="K341" s="142">
        <v>12</v>
      </c>
      <c r="L341" s="142">
        <v>12</v>
      </c>
      <c r="M341" s="143">
        <v>12</v>
      </c>
      <c r="N341" s="144">
        <v>0</v>
      </c>
      <c r="O341" s="143">
        <f t="shared" si="83"/>
        <v>12</v>
      </c>
      <c r="P341" s="159">
        <v>20.68</v>
      </c>
      <c r="Q341" s="159">
        <f t="shared" si="84"/>
        <v>248.16</v>
      </c>
      <c r="R341" s="140">
        <v>12</v>
      </c>
      <c r="S341" s="151">
        <f t="shared" si="71"/>
        <v>248.16</v>
      </c>
      <c r="T341" s="142">
        <v>0</v>
      </c>
      <c r="U341" s="151">
        <f t="shared" si="72"/>
        <v>0</v>
      </c>
      <c r="V341" s="140">
        <v>0</v>
      </c>
      <c r="W341" s="151">
        <f t="shared" si="73"/>
        <v>0</v>
      </c>
      <c r="X341" s="142">
        <v>0</v>
      </c>
      <c r="Y341" s="151">
        <f t="shared" si="74"/>
        <v>0</v>
      </c>
      <c r="Z341" s="215"/>
      <c r="AA341" s="155">
        <f t="shared" si="75"/>
        <v>12</v>
      </c>
      <c r="AB341" s="155">
        <f t="shared" si="69"/>
        <v>0</v>
      </c>
      <c r="AC341" s="149">
        <f t="shared" si="78"/>
        <v>3</v>
      </c>
      <c r="AD341" s="156"/>
      <c r="AG341" s="214">
        <v>10</v>
      </c>
      <c r="AH341" s="214">
        <v>217.72</v>
      </c>
      <c r="AJ341" s="206">
        <f t="shared" si="82"/>
        <v>12</v>
      </c>
      <c r="AL341" s="149">
        <f t="shared" si="81"/>
        <v>0</v>
      </c>
    </row>
    <row r="342" spans="1:38" ht="15">
      <c r="A342" s="140">
        <v>10949</v>
      </c>
      <c r="B342" s="140">
        <v>320</v>
      </c>
      <c r="C342" s="146" t="s">
        <v>1063</v>
      </c>
      <c r="D342" s="147" t="s">
        <v>1062</v>
      </c>
      <c r="E342" s="191" t="s">
        <v>190</v>
      </c>
      <c r="F342" s="153">
        <v>1</v>
      </c>
      <c r="G342" s="154" t="s">
        <v>1245</v>
      </c>
      <c r="H342" s="140">
        <v>1000</v>
      </c>
      <c r="I342" s="140" t="s">
        <v>376</v>
      </c>
      <c r="J342" s="140">
        <v>1</v>
      </c>
      <c r="K342" s="142">
        <v>1</v>
      </c>
      <c r="L342" s="142">
        <v>0</v>
      </c>
      <c r="M342" s="143">
        <v>1</v>
      </c>
      <c r="N342" s="144">
        <v>0</v>
      </c>
      <c r="O342" s="143">
        <f t="shared" si="83"/>
        <v>1</v>
      </c>
      <c r="P342" s="160">
        <v>120</v>
      </c>
      <c r="Q342" s="159">
        <f t="shared" si="84"/>
        <v>120</v>
      </c>
      <c r="R342" s="137">
        <v>0</v>
      </c>
      <c r="S342" s="151">
        <f t="shared" si="71"/>
        <v>0</v>
      </c>
      <c r="T342" s="142">
        <v>1</v>
      </c>
      <c r="U342" s="151">
        <f t="shared" si="72"/>
        <v>120</v>
      </c>
      <c r="V342" s="140">
        <v>0</v>
      </c>
      <c r="W342" s="151">
        <f t="shared" si="73"/>
        <v>0</v>
      </c>
      <c r="X342" s="142">
        <v>0</v>
      </c>
      <c r="Y342" s="151">
        <f t="shared" si="74"/>
        <v>0</v>
      </c>
      <c r="Z342" s="146"/>
      <c r="AA342" s="155">
        <f t="shared" si="75"/>
        <v>1</v>
      </c>
      <c r="AB342" s="155">
        <f t="shared" si="69"/>
        <v>0</v>
      </c>
      <c r="AC342" s="149">
        <f t="shared" si="78"/>
        <v>0.25</v>
      </c>
      <c r="AD342" s="156">
        <f t="shared" si="79"/>
        <v>30</v>
      </c>
      <c r="AI342" s="150" t="s">
        <v>1352</v>
      </c>
      <c r="AJ342" s="206">
        <f t="shared" si="82"/>
        <v>0</v>
      </c>
      <c r="AL342" s="149">
        <f t="shared" si="81"/>
        <v>0</v>
      </c>
    </row>
    <row r="343" spans="1:38" ht="15">
      <c r="A343" s="140">
        <v>10949</v>
      </c>
      <c r="B343" s="140">
        <v>321</v>
      </c>
      <c r="C343" s="146" t="s">
        <v>1065</v>
      </c>
      <c r="D343" s="147" t="s">
        <v>1064</v>
      </c>
      <c r="E343" s="191" t="s">
        <v>404</v>
      </c>
      <c r="F343" s="153">
        <v>1</v>
      </c>
      <c r="G343" s="154" t="s">
        <v>1248</v>
      </c>
      <c r="H343" s="140">
        <v>1</v>
      </c>
      <c r="I343" s="140" t="s">
        <v>389</v>
      </c>
      <c r="J343" s="140">
        <v>50</v>
      </c>
      <c r="K343" s="142">
        <v>50</v>
      </c>
      <c r="L343" s="142">
        <v>18</v>
      </c>
      <c r="M343" s="143">
        <v>50</v>
      </c>
      <c r="N343" s="144">
        <v>135</v>
      </c>
      <c r="O343" s="143">
        <v>0</v>
      </c>
      <c r="P343" s="160">
        <v>8.56</v>
      </c>
      <c r="Q343" s="159">
        <f t="shared" si="84"/>
        <v>0</v>
      </c>
      <c r="R343" s="140">
        <v>0</v>
      </c>
      <c r="S343" s="151">
        <f t="shared" si="71"/>
        <v>0</v>
      </c>
      <c r="T343" s="142">
        <v>0</v>
      </c>
      <c r="U343" s="151">
        <f t="shared" si="72"/>
        <v>0</v>
      </c>
      <c r="V343" s="140">
        <v>0</v>
      </c>
      <c r="W343" s="151">
        <f t="shared" si="73"/>
        <v>0</v>
      </c>
      <c r="X343" s="142">
        <v>0</v>
      </c>
      <c r="Y343" s="151">
        <f t="shared" si="74"/>
        <v>0</v>
      </c>
      <c r="Z343" s="146"/>
      <c r="AA343" s="155">
        <f t="shared" si="75"/>
        <v>0</v>
      </c>
      <c r="AB343" s="155">
        <f t="shared" si="69"/>
        <v>0</v>
      </c>
      <c r="AC343" s="149">
        <f t="shared" si="78"/>
        <v>0</v>
      </c>
      <c r="AD343" s="156">
        <f t="shared" si="79"/>
        <v>0</v>
      </c>
      <c r="AG343" s="149">
        <v>15</v>
      </c>
      <c r="AH343" s="149">
        <v>128.4</v>
      </c>
      <c r="AI343" s="150" t="s">
        <v>1352</v>
      </c>
      <c r="AJ343" s="206">
        <f t="shared" si="82"/>
        <v>18</v>
      </c>
      <c r="AL343" s="149">
        <f t="shared" si="81"/>
        <v>0</v>
      </c>
    </row>
    <row r="344" spans="1:38" ht="15">
      <c r="A344" s="140">
        <v>10949</v>
      </c>
      <c r="B344" s="140">
        <v>322</v>
      </c>
      <c r="C344" s="146" t="s">
        <v>1067</v>
      </c>
      <c r="D344" s="147" t="s">
        <v>1066</v>
      </c>
      <c r="E344" s="191" t="s">
        <v>1417</v>
      </c>
      <c r="F344" s="153">
        <v>1</v>
      </c>
      <c r="G344" s="154" t="s">
        <v>1248</v>
      </c>
      <c r="H344" s="140">
        <v>1</v>
      </c>
      <c r="I344" s="140" t="s">
        <v>389</v>
      </c>
      <c r="J344" s="140">
        <v>5</v>
      </c>
      <c r="K344" s="142">
        <v>5</v>
      </c>
      <c r="L344" s="142">
        <v>2.4000000000000004</v>
      </c>
      <c r="M344" s="143">
        <v>4</v>
      </c>
      <c r="N344" s="144">
        <v>8</v>
      </c>
      <c r="O344" s="143">
        <v>0</v>
      </c>
      <c r="P344" s="140">
        <v>640</v>
      </c>
      <c r="Q344" s="159">
        <f t="shared" si="84"/>
        <v>0</v>
      </c>
      <c r="R344" s="140">
        <v>0</v>
      </c>
      <c r="S344" s="151">
        <f t="shared" si="71"/>
        <v>0</v>
      </c>
      <c r="T344" s="142">
        <v>0</v>
      </c>
      <c r="U344" s="151">
        <f t="shared" si="72"/>
        <v>0</v>
      </c>
      <c r="V344" s="140">
        <v>0</v>
      </c>
      <c r="W344" s="151">
        <f t="shared" si="73"/>
        <v>0</v>
      </c>
      <c r="X344" s="142">
        <v>0</v>
      </c>
      <c r="Y344" s="151">
        <f t="shared" si="74"/>
        <v>0</v>
      </c>
      <c r="Z344" s="146"/>
      <c r="AA344" s="155">
        <f t="shared" si="75"/>
        <v>0</v>
      </c>
      <c r="AB344" s="155">
        <f t="shared" si="69"/>
        <v>0</v>
      </c>
      <c r="AC344" s="149">
        <f aca="true" t="shared" si="85" ref="AC344:AC376">O344/4</f>
        <v>0</v>
      </c>
      <c r="AD344" s="156">
        <f t="shared" si="79"/>
        <v>0</v>
      </c>
      <c r="AG344" s="149">
        <v>2</v>
      </c>
      <c r="AH344" s="149">
        <v>1280</v>
      </c>
      <c r="AI344" s="150" t="s">
        <v>1300</v>
      </c>
      <c r="AJ344" s="206">
        <f t="shared" si="82"/>
        <v>2.4000000000000004</v>
      </c>
      <c r="AL344" s="149">
        <f t="shared" si="81"/>
        <v>0</v>
      </c>
    </row>
    <row r="345" spans="1:38" ht="15">
      <c r="A345" s="140">
        <v>10949</v>
      </c>
      <c r="B345" s="140">
        <v>323</v>
      </c>
      <c r="C345" s="146" t="s">
        <v>1069</v>
      </c>
      <c r="D345" s="147" t="s">
        <v>1068</v>
      </c>
      <c r="E345" s="191" t="s">
        <v>191</v>
      </c>
      <c r="F345" s="153">
        <v>1</v>
      </c>
      <c r="G345" s="154" t="s">
        <v>1257</v>
      </c>
      <c r="H345" s="140">
        <v>1</v>
      </c>
      <c r="I345" s="140" t="s">
        <v>388</v>
      </c>
      <c r="J345" s="140">
        <v>5</v>
      </c>
      <c r="K345" s="142">
        <v>6</v>
      </c>
      <c r="L345" s="142">
        <v>0</v>
      </c>
      <c r="M345" s="143">
        <v>4</v>
      </c>
      <c r="N345" s="144">
        <v>0</v>
      </c>
      <c r="O345" s="143">
        <f t="shared" si="83"/>
        <v>4</v>
      </c>
      <c r="P345" s="160">
        <v>66.34</v>
      </c>
      <c r="Q345" s="159">
        <f t="shared" si="84"/>
        <v>265.36</v>
      </c>
      <c r="R345" s="140">
        <v>1</v>
      </c>
      <c r="S345" s="151">
        <f t="shared" si="71"/>
        <v>66.34</v>
      </c>
      <c r="T345" s="142">
        <v>1</v>
      </c>
      <c r="U345" s="151">
        <f t="shared" si="72"/>
        <v>66.34</v>
      </c>
      <c r="V345" s="140">
        <v>1</v>
      </c>
      <c r="W345" s="151">
        <f t="shared" si="73"/>
        <v>66.34</v>
      </c>
      <c r="X345" s="142">
        <v>1</v>
      </c>
      <c r="Y345" s="151">
        <f t="shared" si="74"/>
        <v>66.34</v>
      </c>
      <c r="Z345" s="146"/>
      <c r="AA345" s="155">
        <f t="shared" si="75"/>
        <v>4</v>
      </c>
      <c r="AB345" s="155">
        <f t="shared" si="69"/>
        <v>0</v>
      </c>
      <c r="AC345" s="149">
        <f t="shared" si="85"/>
        <v>1</v>
      </c>
      <c r="AD345" s="156">
        <f t="shared" si="79"/>
        <v>66.34</v>
      </c>
      <c r="AI345" s="150" t="s">
        <v>1352</v>
      </c>
      <c r="AJ345" s="206">
        <f t="shared" si="82"/>
        <v>0</v>
      </c>
      <c r="AL345" s="149">
        <f t="shared" si="81"/>
        <v>0</v>
      </c>
    </row>
    <row r="346" spans="1:38" ht="15">
      <c r="A346" s="140">
        <v>10949</v>
      </c>
      <c r="B346" s="140">
        <v>324</v>
      </c>
      <c r="C346" s="146" t="s">
        <v>1071</v>
      </c>
      <c r="D346" s="147" t="s">
        <v>1070</v>
      </c>
      <c r="E346" s="191" t="s">
        <v>1422</v>
      </c>
      <c r="F346" s="153">
        <v>1</v>
      </c>
      <c r="G346" s="154" t="s">
        <v>1261</v>
      </c>
      <c r="H346" s="140">
        <v>3.5</v>
      </c>
      <c r="I346" s="140" t="s">
        <v>1238</v>
      </c>
      <c r="J346" s="140">
        <v>112</v>
      </c>
      <c r="K346" s="142">
        <v>48</v>
      </c>
      <c r="L346" s="142">
        <v>84</v>
      </c>
      <c r="M346" s="143">
        <v>85</v>
      </c>
      <c r="N346" s="144">
        <v>37</v>
      </c>
      <c r="O346" s="143">
        <f t="shared" si="83"/>
        <v>48</v>
      </c>
      <c r="P346" s="160">
        <v>13.5</v>
      </c>
      <c r="Q346" s="159">
        <f t="shared" si="84"/>
        <v>648</v>
      </c>
      <c r="R346" s="140">
        <v>0</v>
      </c>
      <c r="S346" s="151">
        <f t="shared" si="71"/>
        <v>0</v>
      </c>
      <c r="T346" s="142">
        <v>0</v>
      </c>
      <c r="U346" s="151">
        <f t="shared" si="72"/>
        <v>0</v>
      </c>
      <c r="V346" s="140">
        <v>48</v>
      </c>
      <c r="W346" s="151">
        <f t="shared" si="73"/>
        <v>648</v>
      </c>
      <c r="X346" s="142">
        <v>0</v>
      </c>
      <c r="Y346" s="151">
        <f t="shared" si="74"/>
        <v>0</v>
      </c>
      <c r="Z346" s="146"/>
      <c r="AA346" s="155">
        <f t="shared" si="75"/>
        <v>48</v>
      </c>
      <c r="AB346" s="155">
        <f t="shared" si="69"/>
        <v>0</v>
      </c>
      <c r="AC346" s="149">
        <f t="shared" si="85"/>
        <v>12</v>
      </c>
      <c r="AD346" s="156">
        <f t="shared" si="79"/>
        <v>162</v>
      </c>
      <c r="AG346" s="149">
        <v>70</v>
      </c>
      <c r="AH346" s="149">
        <v>945</v>
      </c>
      <c r="AI346" s="150" t="s">
        <v>1352</v>
      </c>
      <c r="AJ346" s="206">
        <f t="shared" si="82"/>
        <v>84</v>
      </c>
      <c r="AL346" s="149">
        <f t="shared" si="81"/>
        <v>0</v>
      </c>
    </row>
    <row r="347" spans="1:38" ht="15">
      <c r="A347" s="140">
        <v>10949</v>
      </c>
      <c r="B347" s="140">
        <v>325</v>
      </c>
      <c r="C347" s="146"/>
      <c r="D347" s="147"/>
      <c r="E347" s="152" t="s">
        <v>420</v>
      </c>
      <c r="F347" s="153">
        <v>1</v>
      </c>
      <c r="G347" s="146" t="s">
        <v>1245</v>
      </c>
      <c r="H347" s="140">
        <v>100</v>
      </c>
      <c r="I347" s="140" t="s">
        <v>376</v>
      </c>
      <c r="J347" s="140">
        <v>515</v>
      </c>
      <c r="K347" s="142">
        <v>568</v>
      </c>
      <c r="L347" s="142">
        <v>501.59999999999997</v>
      </c>
      <c r="M347" s="143">
        <v>550</v>
      </c>
      <c r="N347" s="144">
        <v>100</v>
      </c>
      <c r="O347" s="143">
        <f t="shared" si="83"/>
        <v>450</v>
      </c>
      <c r="P347" s="140">
        <v>98.6</v>
      </c>
      <c r="Q347" s="159">
        <f t="shared" si="84"/>
        <v>44370</v>
      </c>
      <c r="R347" s="140">
        <v>110</v>
      </c>
      <c r="S347" s="151">
        <f t="shared" si="71"/>
        <v>10846</v>
      </c>
      <c r="T347" s="142">
        <v>120</v>
      </c>
      <c r="U347" s="151">
        <f t="shared" si="72"/>
        <v>11832</v>
      </c>
      <c r="V347" s="140">
        <v>110</v>
      </c>
      <c r="W347" s="151">
        <f t="shared" si="73"/>
        <v>10846</v>
      </c>
      <c r="X347" s="142">
        <v>110</v>
      </c>
      <c r="Y347" s="151">
        <f t="shared" si="74"/>
        <v>10846</v>
      </c>
      <c r="Z347" s="146"/>
      <c r="AA347" s="155">
        <f t="shared" si="75"/>
        <v>450</v>
      </c>
      <c r="AB347" s="155">
        <f aca="true" t="shared" si="86" ref="AB347:AB419">O347-AA347</f>
        <v>0</v>
      </c>
      <c r="AC347" s="149">
        <f t="shared" si="85"/>
        <v>112.5</v>
      </c>
      <c r="AD347" s="156">
        <f t="shared" si="79"/>
        <v>11092.5</v>
      </c>
      <c r="AG347" s="149">
        <v>418</v>
      </c>
      <c r="AH347" s="149">
        <v>40964</v>
      </c>
      <c r="AI347" s="150" t="s">
        <v>1355</v>
      </c>
      <c r="AJ347" s="206">
        <f t="shared" si="82"/>
        <v>501.59999999999997</v>
      </c>
      <c r="AL347" s="149">
        <f t="shared" si="81"/>
        <v>0</v>
      </c>
    </row>
    <row r="348" spans="1:38" ht="15">
      <c r="A348" s="140">
        <v>10949</v>
      </c>
      <c r="B348" s="140">
        <v>326</v>
      </c>
      <c r="C348" s="146" t="s">
        <v>1073</v>
      </c>
      <c r="D348" s="147" t="s">
        <v>1072</v>
      </c>
      <c r="E348" s="191" t="s">
        <v>194</v>
      </c>
      <c r="F348" s="153">
        <v>1</v>
      </c>
      <c r="G348" s="154" t="s">
        <v>1245</v>
      </c>
      <c r="H348" s="140">
        <v>1000</v>
      </c>
      <c r="I348" s="140" t="s">
        <v>376</v>
      </c>
      <c r="J348" s="140">
        <v>0</v>
      </c>
      <c r="K348" s="142">
        <v>0</v>
      </c>
      <c r="L348" s="142">
        <v>0</v>
      </c>
      <c r="M348" s="143">
        <v>0</v>
      </c>
      <c r="N348" s="144">
        <v>0</v>
      </c>
      <c r="O348" s="143">
        <f t="shared" si="83"/>
        <v>0</v>
      </c>
      <c r="P348" s="140">
        <v>2334</v>
      </c>
      <c r="Q348" s="159">
        <f t="shared" si="84"/>
        <v>0</v>
      </c>
      <c r="R348" s="140">
        <v>0</v>
      </c>
      <c r="S348" s="151">
        <f t="shared" si="71"/>
        <v>0</v>
      </c>
      <c r="T348" s="142">
        <v>0</v>
      </c>
      <c r="U348" s="151">
        <f t="shared" si="72"/>
        <v>0</v>
      </c>
      <c r="V348" s="140">
        <v>0</v>
      </c>
      <c r="W348" s="151">
        <f t="shared" si="73"/>
        <v>0</v>
      </c>
      <c r="X348" s="142">
        <v>0</v>
      </c>
      <c r="Y348" s="151">
        <f t="shared" si="74"/>
        <v>0</v>
      </c>
      <c r="Z348" s="146"/>
      <c r="AA348" s="155">
        <f t="shared" si="75"/>
        <v>0</v>
      </c>
      <c r="AB348" s="155">
        <f t="shared" si="86"/>
        <v>0</v>
      </c>
      <c r="AC348" s="149">
        <f t="shared" si="85"/>
        <v>0</v>
      </c>
      <c r="AD348" s="156">
        <f t="shared" si="79"/>
        <v>0</v>
      </c>
      <c r="AJ348" s="206">
        <f t="shared" si="82"/>
        <v>0</v>
      </c>
      <c r="AL348" s="149">
        <f t="shared" si="81"/>
        <v>0</v>
      </c>
    </row>
    <row r="349" spans="1:38" ht="15">
      <c r="A349" s="140">
        <v>10949</v>
      </c>
      <c r="B349" s="140">
        <v>327</v>
      </c>
      <c r="C349" s="146" t="s">
        <v>1075</v>
      </c>
      <c r="D349" s="147" t="s">
        <v>1074</v>
      </c>
      <c r="E349" s="191" t="s">
        <v>192</v>
      </c>
      <c r="F349" s="153">
        <v>1</v>
      </c>
      <c r="G349" s="154" t="s">
        <v>1245</v>
      </c>
      <c r="H349" s="140">
        <v>500</v>
      </c>
      <c r="I349" s="140" t="s">
        <v>376</v>
      </c>
      <c r="J349" s="140">
        <v>0</v>
      </c>
      <c r="K349" s="142">
        <v>1</v>
      </c>
      <c r="L349" s="142">
        <v>1.7999999999999998</v>
      </c>
      <c r="M349" s="143">
        <v>2</v>
      </c>
      <c r="N349" s="144">
        <v>0</v>
      </c>
      <c r="O349" s="143">
        <f t="shared" si="83"/>
        <v>2</v>
      </c>
      <c r="P349" s="140">
        <v>382.5</v>
      </c>
      <c r="Q349" s="159">
        <f t="shared" si="84"/>
        <v>765</v>
      </c>
      <c r="R349" s="137">
        <v>1</v>
      </c>
      <c r="S349" s="151">
        <f t="shared" si="71"/>
        <v>382.5</v>
      </c>
      <c r="T349" s="142">
        <v>0</v>
      </c>
      <c r="U349" s="151">
        <f t="shared" si="72"/>
        <v>0</v>
      </c>
      <c r="V349" s="140">
        <v>1</v>
      </c>
      <c r="W349" s="151">
        <f t="shared" si="73"/>
        <v>382.5</v>
      </c>
      <c r="X349" s="142">
        <v>0</v>
      </c>
      <c r="Y349" s="151">
        <f t="shared" si="74"/>
        <v>0</v>
      </c>
      <c r="Z349" s="146"/>
      <c r="AA349" s="155">
        <f t="shared" si="75"/>
        <v>2</v>
      </c>
      <c r="AB349" s="155">
        <f t="shared" si="86"/>
        <v>0</v>
      </c>
      <c r="AC349" s="149">
        <f t="shared" si="85"/>
        <v>0.5</v>
      </c>
      <c r="AD349" s="156">
        <f t="shared" si="79"/>
        <v>191.25</v>
      </c>
      <c r="AG349" s="149">
        <v>1.5</v>
      </c>
      <c r="AH349" s="149">
        <v>573.75</v>
      </c>
      <c r="AI349" s="150" t="s">
        <v>1352</v>
      </c>
      <c r="AJ349" s="206">
        <f t="shared" si="82"/>
        <v>1.7999999999999998</v>
      </c>
      <c r="AL349" s="149">
        <f t="shared" si="81"/>
        <v>0</v>
      </c>
    </row>
    <row r="350" spans="1:38" ht="15">
      <c r="A350" s="140">
        <v>10949</v>
      </c>
      <c r="B350" s="140">
        <v>328</v>
      </c>
      <c r="C350" s="146" t="s">
        <v>1077</v>
      </c>
      <c r="D350" s="147" t="s">
        <v>1076</v>
      </c>
      <c r="E350" s="191" t="s">
        <v>193</v>
      </c>
      <c r="F350" s="153">
        <v>1</v>
      </c>
      <c r="G350" s="154" t="s">
        <v>1245</v>
      </c>
      <c r="H350" s="140">
        <v>1000</v>
      </c>
      <c r="I350" s="140" t="s">
        <v>376</v>
      </c>
      <c r="J350" s="140">
        <v>1</v>
      </c>
      <c r="K350" s="142">
        <v>0</v>
      </c>
      <c r="L350" s="142">
        <v>0</v>
      </c>
      <c r="M350" s="143">
        <v>0</v>
      </c>
      <c r="N350" s="144">
        <v>0</v>
      </c>
      <c r="O350" s="143">
        <f t="shared" si="83"/>
        <v>0</v>
      </c>
      <c r="P350" s="164">
        <v>1361</v>
      </c>
      <c r="Q350" s="159">
        <f t="shared" si="84"/>
        <v>0</v>
      </c>
      <c r="R350" s="140">
        <v>0</v>
      </c>
      <c r="S350" s="151">
        <f aca="true" t="shared" si="87" ref="S350:S423">R350*P350</f>
        <v>0</v>
      </c>
      <c r="T350" s="142">
        <v>0</v>
      </c>
      <c r="U350" s="151">
        <f aca="true" t="shared" si="88" ref="U350:U423">T350*P350</f>
        <v>0</v>
      </c>
      <c r="V350" s="140">
        <v>0</v>
      </c>
      <c r="W350" s="151">
        <f aca="true" t="shared" si="89" ref="W350:W423">V350*P350</f>
        <v>0</v>
      </c>
      <c r="X350" s="142">
        <v>0</v>
      </c>
      <c r="Y350" s="151">
        <f aca="true" t="shared" si="90" ref="Y350:Y423">X350*P350</f>
        <v>0</v>
      </c>
      <c r="Z350" s="146"/>
      <c r="AA350" s="155">
        <f aca="true" t="shared" si="91" ref="AA350:AA423">R350+T350+V350+X350</f>
        <v>0</v>
      </c>
      <c r="AB350" s="155">
        <f t="shared" si="86"/>
        <v>0</v>
      </c>
      <c r="AC350" s="149">
        <f t="shared" si="85"/>
        <v>0</v>
      </c>
      <c r="AD350" s="156">
        <f t="shared" si="79"/>
        <v>0</v>
      </c>
      <c r="AJ350" s="206">
        <f t="shared" si="82"/>
        <v>0</v>
      </c>
      <c r="AL350" s="149">
        <f t="shared" si="81"/>
        <v>0</v>
      </c>
    </row>
    <row r="351" spans="1:38" ht="15">
      <c r="A351" s="140">
        <v>10949</v>
      </c>
      <c r="B351" s="140">
        <v>329</v>
      </c>
      <c r="C351" s="146"/>
      <c r="D351" s="147"/>
      <c r="E351" s="191" t="s">
        <v>195</v>
      </c>
      <c r="F351" s="153">
        <v>1</v>
      </c>
      <c r="G351" s="154" t="s">
        <v>1257</v>
      </c>
      <c r="H351" s="140">
        <v>1</v>
      </c>
      <c r="I351" s="140" t="s">
        <v>388</v>
      </c>
      <c r="J351" s="140">
        <v>97</v>
      </c>
      <c r="K351" s="142">
        <v>65</v>
      </c>
      <c r="L351" s="142">
        <v>42</v>
      </c>
      <c r="M351" s="143">
        <v>50</v>
      </c>
      <c r="N351" s="144">
        <v>20</v>
      </c>
      <c r="O351" s="143">
        <f t="shared" si="83"/>
        <v>30</v>
      </c>
      <c r="P351" s="140">
        <v>30</v>
      </c>
      <c r="Q351" s="159">
        <f t="shared" si="84"/>
        <v>900</v>
      </c>
      <c r="R351" s="140">
        <v>0</v>
      </c>
      <c r="S351" s="151">
        <f t="shared" si="87"/>
        <v>0</v>
      </c>
      <c r="T351" s="142">
        <v>0</v>
      </c>
      <c r="U351" s="151">
        <f t="shared" si="88"/>
        <v>0</v>
      </c>
      <c r="V351" s="140">
        <v>30</v>
      </c>
      <c r="W351" s="151">
        <f t="shared" si="89"/>
        <v>900</v>
      </c>
      <c r="X351" s="142"/>
      <c r="Y351" s="151">
        <f t="shared" si="90"/>
        <v>0</v>
      </c>
      <c r="Z351" s="146"/>
      <c r="AA351" s="155">
        <f t="shared" si="91"/>
        <v>30</v>
      </c>
      <c r="AB351" s="155">
        <f t="shared" si="86"/>
        <v>0</v>
      </c>
      <c r="AC351" s="149">
        <f t="shared" si="85"/>
        <v>7.5</v>
      </c>
      <c r="AD351" s="156">
        <f aca="true" t="shared" si="92" ref="AD351:AD387">Q351/4</f>
        <v>225</v>
      </c>
      <c r="AG351" s="149">
        <v>35</v>
      </c>
      <c r="AH351" s="149">
        <v>915</v>
      </c>
      <c r="AI351" s="150" t="s">
        <v>1352</v>
      </c>
      <c r="AJ351" s="206">
        <f t="shared" si="82"/>
        <v>42</v>
      </c>
      <c r="AL351" s="149">
        <f t="shared" si="81"/>
        <v>0</v>
      </c>
    </row>
    <row r="352" spans="1:38" ht="15">
      <c r="A352" s="140">
        <v>10949</v>
      </c>
      <c r="B352" s="140">
        <v>330</v>
      </c>
      <c r="C352" s="146" t="s">
        <v>1079</v>
      </c>
      <c r="D352" s="147" t="s">
        <v>1078</v>
      </c>
      <c r="E352" s="191" t="s">
        <v>196</v>
      </c>
      <c r="F352" s="153">
        <v>1</v>
      </c>
      <c r="G352" s="154" t="s">
        <v>1248</v>
      </c>
      <c r="H352" s="140">
        <v>1</v>
      </c>
      <c r="I352" s="140" t="s">
        <v>389</v>
      </c>
      <c r="J352" s="140">
        <v>1250</v>
      </c>
      <c r="K352" s="142">
        <v>2720</v>
      </c>
      <c r="L352" s="142">
        <v>2448</v>
      </c>
      <c r="M352" s="143">
        <v>2800</v>
      </c>
      <c r="N352" s="144">
        <v>400</v>
      </c>
      <c r="O352" s="143">
        <f t="shared" si="83"/>
        <v>2400</v>
      </c>
      <c r="P352" s="160">
        <v>7</v>
      </c>
      <c r="Q352" s="159">
        <f t="shared" si="84"/>
        <v>16800</v>
      </c>
      <c r="R352" s="140">
        <v>600</v>
      </c>
      <c r="S352" s="151">
        <f t="shared" si="87"/>
        <v>4200</v>
      </c>
      <c r="T352" s="142">
        <v>600</v>
      </c>
      <c r="U352" s="151">
        <f t="shared" si="88"/>
        <v>4200</v>
      </c>
      <c r="V352" s="140">
        <v>600</v>
      </c>
      <c r="W352" s="151">
        <f t="shared" si="89"/>
        <v>4200</v>
      </c>
      <c r="X352" s="142">
        <v>600</v>
      </c>
      <c r="Y352" s="151">
        <f t="shared" si="90"/>
        <v>4200</v>
      </c>
      <c r="Z352" s="146"/>
      <c r="AA352" s="155">
        <f t="shared" si="91"/>
        <v>2400</v>
      </c>
      <c r="AB352" s="155">
        <f t="shared" si="86"/>
        <v>0</v>
      </c>
      <c r="AC352" s="149">
        <f t="shared" si="85"/>
        <v>600</v>
      </c>
      <c r="AD352" s="156">
        <f t="shared" si="92"/>
        <v>4200</v>
      </c>
      <c r="AG352" s="149">
        <v>2040</v>
      </c>
      <c r="AH352" s="149">
        <v>14280</v>
      </c>
      <c r="AI352" s="150" t="s">
        <v>1300</v>
      </c>
      <c r="AJ352" s="206">
        <f t="shared" si="82"/>
        <v>2448</v>
      </c>
      <c r="AL352" s="149">
        <f t="shared" si="81"/>
        <v>0</v>
      </c>
    </row>
    <row r="353" spans="1:38" ht="15">
      <c r="A353" s="140">
        <v>10949</v>
      </c>
      <c r="B353" s="140">
        <v>331</v>
      </c>
      <c r="C353" s="146" t="s">
        <v>1081</v>
      </c>
      <c r="D353" s="147" t="s">
        <v>1080</v>
      </c>
      <c r="E353" s="191" t="s">
        <v>197</v>
      </c>
      <c r="F353" s="153">
        <v>1</v>
      </c>
      <c r="G353" s="154" t="s">
        <v>1252</v>
      </c>
      <c r="H353" s="140">
        <v>100</v>
      </c>
      <c r="I353" s="140" t="s">
        <v>1253</v>
      </c>
      <c r="J353" s="140">
        <f>53.6*500/100</f>
        <v>268</v>
      </c>
      <c r="K353" s="142">
        <v>357.5</v>
      </c>
      <c r="L353" s="142">
        <v>390</v>
      </c>
      <c r="M353" s="143">
        <v>400</v>
      </c>
      <c r="N353" s="144">
        <v>40</v>
      </c>
      <c r="O353" s="143">
        <f t="shared" si="83"/>
        <v>360</v>
      </c>
      <c r="P353" s="140">
        <v>27</v>
      </c>
      <c r="Q353" s="159">
        <f t="shared" si="84"/>
        <v>9720</v>
      </c>
      <c r="R353" s="140">
        <v>90</v>
      </c>
      <c r="S353" s="151">
        <f t="shared" si="87"/>
        <v>2430</v>
      </c>
      <c r="T353" s="142">
        <v>90</v>
      </c>
      <c r="U353" s="151">
        <f t="shared" si="88"/>
        <v>2430</v>
      </c>
      <c r="V353" s="140">
        <v>90</v>
      </c>
      <c r="W353" s="151">
        <f t="shared" si="89"/>
        <v>2430</v>
      </c>
      <c r="X353" s="142">
        <v>90</v>
      </c>
      <c r="Y353" s="151">
        <f t="shared" si="90"/>
        <v>2430</v>
      </c>
      <c r="Z353" s="146"/>
      <c r="AA353" s="155">
        <f t="shared" si="91"/>
        <v>360</v>
      </c>
      <c r="AB353" s="155">
        <f t="shared" si="86"/>
        <v>0</v>
      </c>
      <c r="AC353" s="149">
        <f t="shared" si="85"/>
        <v>90</v>
      </c>
      <c r="AD353" s="156">
        <f t="shared" si="92"/>
        <v>2430</v>
      </c>
      <c r="AG353" s="149">
        <v>325</v>
      </c>
      <c r="AH353" s="149">
        <v>8775</v>
      </c>
      <c r="AI353" s="150" t="s">
        <v>1356</v>
      </c>
      <c r="AJ353" s="206">
        <f t="shared" si="82"/>
        <v>390</v>
      </c>
      <c r="AL353" s="149">
        <f t="shared" si="81"/>
        <v>0</v>
      </c>
    </row>
    <row r="354" spans="1:38" ht="15">
      <c r="A354" s="140">
        <v>10949</v>
      </c>
      <c r="B354" s="140">
        <v>332</v>
      </c>
      <c r="C354" s="146" t="s">
        <v>1082</v>
      </c>
      <c r="D354" s="147" t="s">
        <v>1080</v>
      </c>
      <c r="E354" s="152" t="s">
        <v>568</v>
      </c>
      <c r="F354" s="153">
        <v>1</v>
      </c>
      <c r="G354" s="146" t="s">
        <v>1245</v>
      </c>
      <c r="H354" s="140">
        <v>500</v>
      </c>
      <c r="I354" s="140" t="s">
        <v>376</v>
      </c>
      <c r="J354" s="140">
        <v>42</v>
      </c>
      <c r="K354" s="142">
        <v>65</v>
      </c>
      <c r="L354" s="142">
        <v>87.6</v>
      </c>
      <c r="M354" s="143">
        <v>100</v>
      </c>
      <c r="N354" s="144">
        <v>20</v>
      </c>
      <c r="O354" s="143">
        <f t="shared" si="83"/>
        <v>80</v>
      </c>
      <c r="P354" s="140">
        <v>680</v>
      </c>
      <c r="Q354" s="159">
        <f t="shared" si="84"/>
        <v>54400</v>
      </c>
      <c r="R354" s="140">
        <v>20</v>
      </c>
      <c r="S354" s="151">
        <f t="shared" si="87"/>
        <v>13600</v>
      </c>
      <c r="T354" s="142">
        <v>20</v>
      </c>
      <c r="U354" s="151">
        <f t="shared" si="88"/>
        <v>13600</v>
      </c>
      <c r="V354" s="140">
        <v>20</v>
      </c>
      <c r="W354" s="151">
        <f t="shared" si="89"/>
        <v>13600</v>
      </c>
      <c r="X354" s="142">
        <v>20</v>
      </c>
      <c r="Y354" s="151">
        <f t="shared" si="90"/>
        <v>13600</v>
      </c>
      <c r="Z354" s="146"/>
      <c r="AA354" s="155">
        <f t="shared" si="91"/>
        <v>80</v>
      </c>
      <c r="AB354" s="155">
        <f t="shared" si="86"/>
        <v>0</v>
      </c>
      <c r="AC354" s="149">
        <f t="shared" si="85"/>
        <v>20</v>
      </c>
      <c r="AD354" s="156">
        <f t="shared" si="92"/>
        <v>13600</v>
      </c>
      <c r="AG354" s="149">
        <v>73</v>
      </c>
      <c r="AH354" s="149">
        <v>50810</v>
      </c>
      <c r="AI354" s="150" t="s">
        <v>1352</v>
      </c>
      <c r="AJ354" s="206">
        <f t="shared" si="82"/>
        <v>87.6</v>
      </c>
      <c r="AL354" s="149">
        <f t="shared" si="81"/>
        <v>0</v>
      </c>
    </row>
    <row r="355" spans="1:38" ht="15">
      <c r="A355" s="140">
        <v>10949</v>
      </c>
      <c r="B355" s="140">
        <v>333</v>
      </c>
      <c r="C355" s="146" t="s">
        <v>1084</v>
      </c>
      <c r="D355" s="147" t="s">
        <v>1083</v>
      </c>
      <c r="E355" s="191" t="s">
        <v>198</v>
      </c>
      <c r="F355" s="153">
        <v>1</v>
      </c>
      <c r="G355" s="154" t="s">
        <v>1247</v>
      </c>
      <c r="H355" s="140">
        <v>5</v>
      </c>
      <c r="I355" s="140" t="s">
        <v>1238</v>
      </c>
      <c r="J355" s="140">
        <v>1032</v>
      </c>
      <c r="K355" s="142">
        <v>1116</v>
      </c>
      <c r="L355" s="142">
        <v>1051.1999999999998</v>
      </c>
      <c r="M355" s="143">
        <v>1200</v>
      </c>
      <c r="N355" s="144">
        <v>200</v>
      </c>
      <c r="O355" s="143">
        <f t="shared" si="83"/>
        <v>1000</v>
      </c>
      <c r="P355" s="140">
        <v>7</v>
      </c>
      <c r="Q355" s="159">
        <f t="shared" si="84"/>
        <v>7000</v>
      </c>
      <c r="R355" s="140">
        <v>250</v>
      </c>
      <c r="S355" s="151">
        <f t="shared" si="87"/>
        <v>1750</v>
      </c>
      <c r="T355" s="142">
        <v>250</v>
      </c>
      <c r="U355" s="151">
        <f t="shared" si="88"/>
        <v>1750</v>
      </c>
      <c r="V355" s="140">
        <v>250</v>
      </c>
      <c r="W355" s="151">
        <f t="shared" si="89"/>
        <v>1750</v>
      </c>
      <c r="X355" s="142">
        <v>250</v>
      </c>
      <c r="Y355" s="151">
        <f t="shared" si="90"/>
        <v>1750</v>
      </c>
      <c r="Z355" s="146"/>
      <c r="AA355" s="155">
        <f t="shared" si="91"/>
        <v>1000</v>
      </c>
      <c r="AB355" s="155">
        <f t="shared" si="86"/>
        <v>0</v>
      </c>
      <c r="AC355" s="149">
        <f t="shared" si="85"/>
        <v>250</v>
      </c>
      <c r="AD355" s="156">
        <f t="shared" si="92"/>
        <v>1750</v>
      </c>
      <c r="AG355" s="149">
        <v>876</v>
      </c>
      <c r="AH355" s="149">
        <v>6132</v>
      </c>
      <c r="AI355" s="150" t="s">
        <v>1352</v>
      </c>
      <c r="AJ355" s="206">
        <f t="shared" si="82"/>
        <v>1051.1999999999998</v>
      </c>
      <c r="AL355" s="149">
        <f t="shared" si="81"/>
        <v>0</v>
      </c>
    </row>
    <row r="356" spans="1:38" ht="15">
      <c r="A356" s="140">
        <v>10949</v>
      </c>
      <c r="B356" s="140">
        <v>334</v>
      </c>
      <c r="C356" s="146" t="s">
        <v>1088</v>
      </c>
      <c r="D356" s="147" t="s">
        <v>1087</v>
      </c>
      <c r="E356" s="191" t="s">
        <v>199</v>
      </c>
      <c r="F356" s="153">
        <v>1</v>
      </c>
      <c r="G356" s="154" t="s">
        <v>1247</v>
      </c>
      <c r="H356" s="140">
        <v>5</v>
      </c>
      <c r="I356" s="140" t="s">
        <v>1238</v>
      </c>
      <c r="J356" s="140">
        <v>1550</v>
      </c>
      <c r="K356" s="142">
        <v>1360</v>
      </c>
      <c r="L356" s="142">
        <v>1416</v>
      </c>
      <c r="M356" s="143">
        <v>1500</v>
      </c>
      <c r="N356" s="144">
        <v>300</v>
      </c>
      <c r="O356" s="143">
        <f t="shared" si="83"/>
        <v>1200</v>
      </c>
      <c r="P356" s="140">
        <v>8</v>
      </c>
      <c r="Q356" s="159">
        <f t="shared" si="84"/>
        <v>9600</v>
      </c>
      <c r="R356" s="140">
        <v>300</v>
      </c>
      <c r="S356" s="151">
        <f t="shared" si="87"/>
        <v>2400</v>
      </c>
      <c r="T356" s="142">
        <v>300</v>
      </c>
      <c r="U356" s="151">
        <f t="shared" si="88"/>
        <v>2400</v>
      </c>
      <c r="V356" s="140">
        <v>300</v>
      </c>
      <c r="W356" s="151">
        <f t="shared" si="89"/>
        <v>2400</v>
      </c>
      <c r="X356" s="142">
        <v>300</v>
      </c>
      <c r="Y356" s="151">
        <f t="shared" si="90"/>
        <v>2400</v>
      </c>
      <c r="Z356" s="146"/>
      <c r="AA356" s="155">
        <f t="shared" si="91"/>
        <v>1200</v>
      </c>
      <c r="AB356" s="155">
        <f t="shared" si="86"/>
        <v>0</v>
      </c>
      <c r="AC356" s="149">
        <f t="shared" si="85"/>
        <v>300</v>
      </c>
      <c r="AD356" s="156">
        <f t="shared" si="92"/>
        <v>2400</v>
      </c>
      <c r="AG356" s="149">
        <v>1180</v>
      </c>
      <c r="AH356" s="149">
        <v>9440</v>
      </c>
      <c r="AI356" s="150" t="s">
        <v>1352</v>
      </c>
      <c r="AJ356" s="206">
        <f t="shared" si="82"/>
        <v>1416</v>
      </c>
      <c r="AL356" s="149">
        <f t="shared" si="81"/>
        <v>0</v>
      </c>
    </row>
    <row r="357" spans="1:38" ht="15">
      <c r="A357" s="140">
        <v>10949</v>
      </c>
      <c r="B357" s="140">
        <v>335</v>
      </c>
      <c r="C357" s="146" t="s">
        <v>1086</v>
      </c>
      <c r="D357" s="147" t="s">
        <v>1085</v>
      </c>
      <c r="E357" s="152" t="s">
        <v>200</v>
      </c>
      <c r="F357" s="153">
        <v>2</v>
      </c>
      <c r="G357" s="146" t="s">
        <v>1269</v>
      </c>
      <c r="H357" s="140">
        <v>1</v>
      </c>
      <c r="I357" s="140" t="s">
        <v>1238</v>
      </c>
      <c r="J357" s="140">
        <v>1870</v>
      </c>
      <c r="K357" s="142">
        <v>1800</v>
      </c>
      <c r="L357" s="142">
        <v>1626</v>
      </c>
      <c r="M357" s="143">
        <v>1800</v>
      </c>
      <c r="N357" s="144">
        <v>200</v>
      </c>
      <c r="O357" s="143">
        <f t="shared" si="83"/>
        <v>1600</v>
      </c>
      <c r="P357" s="140">
        <v>3</v>
      </c>
      <c r="Q357" s="159">
        <f t="shared" si="84"/>
        <v>4800</v>
      </c>
      <c r="R357" s="140">
        <v>400</v>
      </c>
      <c r="S357" s="151">
        <f t="shared" si="87"/>
        <v>1200</v>
      </c>
      <c r="T357" s="142">
        <v>400</v>
      </c>
      <c r="U357" s="151">
        <f t="shared" si="88"/>
        <v>1200</v>
      </c>
      <c r="V357" s="140">
        <v>400</v>
      </c>
      <c r="W357" s="151">
        <f t="shared" si="89"/>
        <v>1200</v>
      </c>
      <c r="X357" s="142">
        <v>400</v>
      </c>
      <c r="Y357" s="151">
        <f t="shared" si="90"/>
        <v>1200</v>
      </c>
      <c r="Z357" s="146"/>
      <c r="AA357" s="155">
        <f t="shared" si="91"/>
        <v>1600</v>
      </c>
      <c r="AB357" s="155">
        <f t="shared" si="86"/>
        <v>0</v>
      </c>
      <c r="AC357" s="149">
        <f t="shared" si="85"/>
        <v>400</v>
      </c>
      <c r="AD357" s="156">
        <f t="shared" si="92"/>
        <v>1200</v>
      </c>
      <c r="AG357" s="149">
        <v>1355</v>
      </c>
      <c r="AH357" s="149">
        <v>4065</v>
      </c>
      <c r="AI357" s="150" t="s">
        <v>1354</v>
      </c>
      <c r="AJ357" s="206">
        <f t="shared" si="82"/>
        <v>1626</v>
      </c>
      <c r="AL357" s="149">
        <f t="shared" si="81"/>
        <v>0</v>
      </c>
    </row>
    <row r="358" spans="1:38" ht="15">
      <c r="A358" s="140">
        <v>10949</v>
      </c>
      <c r="B358" s="140">
        <v>336</v>
      </c>
      <c r="C358" s="146" t="s">
        <v>1090</v>
      </c>
      <c r="D358" s="147" t="s">
        <v>1089</v>
      </c>
      <c r="E358" s="191" t="s">
        <v>201</v>
      </c>
      <c r="F358" s="153">
        <v>1</v>
      </c>
      <c r="G358" s="154" t="s">
        <v>1248</v>
      </c>
      <c r="H358" s="140">
        <v>1</v>
      </c>
      <c r="I358" s="140" t="s">
        <v>392</v>
      </c>
      <c r="J358" s="140">
        <v>84</v>
      </c>
      <c r="K358" s="142">
        <v>72</v>
      </c>
      <c r="L358" s="142">
        <v>61.199999999999996</v>
      </c>
      <c r="M358" s="143">
        <v>80</v>
      </c>
      <c r="N358" s="144">
        <v>30</v>
      </c>
      <c r="O358" s="143">
        <f t="shared" si="83"/>
        <v>50</v>
      </c>
      <c r="P358" s="140">
        <v>65</v>
      </c>
      <c r="Q358" s="159">
        <f t="shared" si="84"/>
        <v>3250</v>
      </c>
      <c r="R358" s="140">
        <v>0</v>
      </c>
      <c r="S358" s="151">
        <f t="shared" si="87"/>
        <v>0</v>
      </c>
      <c r="T358" s="142">
        <v>20</v>
      </c>
      <c r="U358" s="151">
        <f t="shared" si="88"/>
        <v>1300</v>
      </c>
      <c r="V358" s="140">
        <v>20</v>
      </c>
      <c r="W358" s="151">
        <f t="shared" si="89"/>
        <v>1300</v>
      </c>
      <c r="X358" s="142">
        <v>10</v>
      </c>
      <c r="Y358" s="151">
        <f t="shared" si="90"/>
        <v>650</v>
      </c>
      <c r="Z358" s="146"/>
      <c r="AA358" s="155">
        <f t="shared" si="91"/>
        <v>50</v>
      </c>
      <c r="AB358" s="155">
        <f t="shared" si="86"/>
        <v>0</v>
      </c>
      <c r="AC358" s="149">
        <f t="shared" si="85"/>
        <v>12.5</v>
      </c>
      <c r="AD358" s="156">
        <f t="shared" si="92"/>
        <v>812.5</v>
      </c>
      <c r="AG358" s="149">
        <v>51</v>
      </c>
      <c r="AH358" s="149">
        <v>3315</v>
      </c>
      <c r="AI358" s="150" t="s">
        <v>1352</v>
      </c>
      <c r="AJ358" s="206">
        <f t="shared" si="82"/>
        <v>61.199999999999996</v>
      </c>
      <c r="AL358" s="149">
        <f t="shared" si="81"/>
        <v>0</v>
      </c>
    </row>
    <row r="359" spans="1:38" ht="15">
      <c r="A359" s="140">
        <v>10949</v>
      </c>
      <c r="B359" s="140">
        <v>337</v>
      </c>
      <c r="C359" s="146" t="s">
        <v>1092</v>
      </c>
      <c r="D359" s="147" t="s">
        <v>1091</v>
      </c>
      <c r="E359" s="152" t="s">
        <v>540</v>
      </c>
      <c r="F359" s="153">
        <v>1</v>
      </c>
      <c r="G359" s="146" t="s">
        <v>1245</v>
      </c>
      <c r="H359" s="221">
        <v>30</v>
      </c>
      <c r="I359" s="221" t="s">
        <v>376</v>
      </c>
      <c r="J359" s="140">
        <v>3240</v>
      </c>
      <c r="K359" s="142">
        <v>2570</v>
      </c>
      <c r="L359" s="142">
        <v>2868</v>
      </c>
      <c r="M359" s="143">
        <v>3000</v>
      </c>
      <c r="N359" s="144">
        <v>0</v>
      </c>
      <c r="O359" s="143">
        <f t="shared" si="83"/>
        <v>3000</v>
      </c>
      <c r="P359" s="160">
        <v>25</v>
      </c>
      <c r="Q359" s="159">
        <f t="shared" si="84"/>
        <v>75000</v>
      </c>
      <c r="R359" s="140">
        <v>750</v>
      </c>
      <c r="S359" s="151">
        <f t="shared" si="87"/>
        <v>18750</v>
      </c>
      <c r="T359" s="142">
        <v>750</v>
      </c>
      <c r="U359" s="151">
        <f t="shared" si="88"/>
        <v>18750</v>
      </c>
      <c r="V359" s="140">
        <v>750</v>
      </c>
      <c r="W359" s="151">
        <f t="shared" si="89"/>
        <v>18750</v>
      </c>
      <c r="X359" s="142">
        <v>750</v>
      </c>
      <c r="Y359" s="151">
        <f t="shared" si="90"/>
        <v>18750</v>
      </c>
      <c r="Z359" s="146"/>
      <c r="AA359" s="155">
        <f t="shared" si="91"/>
        <v>3000</v>
      </c>
      <c r="AB359" s="155">
        <f t="shared" si="86"/>
        <v>0</v>
      </c>
      <c r="AC359" s="149">
        <f t="shared" si="85"/>
        <v>750</v>
      </c>
      <c r="AD359" s="156">
        <f t="shared" si="92"/>
        <v>18750</v>
      </c>
      <c r="AG359" s="149">
        <v>2390</v>
      </c>
      <c r="AH359" s="149">
        <v>59750</v>
      </c>
      <c r="AI359" s="150" t="s">
        <v>1356</v>
      </c>
      <c r="AJ359" s="206">
        <f t="shared" si="82"/>
        <v>2868</v>
      </c>
      <c r="AL359" s="149">
        <f t="shared" si="81"/>
        <v>0</v>
      </c>
    </row>
    <row r="360" spans="1:38" ht="15">
      <c r="A360" s="140">
        <v>10949</v>
      </c>
      <c r="B360" s="140">
        <v>338</v>
      </c>
      <c r="C360" s="146"/>
      <c r="D360" s="147"/>
      <c r="E360" s="191" t="s">
        <v>202</v>
      </c>
      <c r="F360" s="153">
        <v>1</v>
      </c>
      <c r="G360" s="154" t="s">
        <v>1245</v>
      </c>
      <c r="H360" s="140">
        <v>1000</v>
      </c>
      <c r="I360" s="140" t="s">
        <v>376</v>
      </c>
      <c r="J360" s="140">
        <v>1</v>
      </c>
      <c r="K360" s="142">
        <v>3</v>
      </c>
      <c r="L360" s="142">
        <v>1.2000000000000002</v>
      </c>
      <c r="M360" s="143">
        <v>2</v>
      </c>
      <c r="N360" s="144">
        <v>0</v>
      </c>
      <c r="O360" s="143">
        <f t="shared" si="83"/>
        <v>2</v>
      </c>
      <c r="P360" s="140">
        <v>336.56</v>
      </c>
      <c r="Q360" s="159">
        <f t="shared" si="84"/>
        <v>673.12</v>
      </c>
      <c r="R360" s="140">
        <v>1</v>
      </c>
      <c r="S360" s="151">
        <f t="shared" si="87"/>
        <v>336.56</v>
      </c>
      <c r="T360" s="142">
        <v>0</v>
      </c>
      <c r="U360" s="151">
        <f t="shared" si="88"/>
        <v>0</v>
      </c>
      <c r="V360" s="140">
        <v>1</v>
      </c>
      <c r="W360" s="151">
        <f t="shared" si="89"/>
        <v>336.56</v>
      </c>
      <c r="X360" s="142">
        <v>0</v>
      </c>
      <c r="Y360" s="151">
        <f t="shared" si="90"/>
        <v>0</v>
      </c>
      <c r="Z360" s="146"/>
      <c r="AA360" s="155">
        <f t="shared" si="91"/>
        <v>2</v>
      </c>
      <c r="AB360" s="155">
        <f t="shared" si="86"/>
        <v>0</v>
      </c>
      <c r="AC360" s="149">
        <f t="shared" si="85"/>
        <v>0.5</v>
      </c>
      <c r="AD360" s="156">
        <f t="shared" si="92"/>
        <v>168.28</v>
      </c>
      <c r="AG360" s="149">
        <v>1</v>
      </c>
      <c r="AH360" s="149">
        <v>336.56</v>
      </c>
      <c r="AI360" s="150" t="s">
        <v>1352</v>
      </c>
      <c r="AJ360" s="206">
        <f t="shared" si="82"/>
        <v>1.2000000000000002</v>
      </c>
      <c r="AL360" s="149">
        <f t="shared" si="81"/>
        <v>0</v>
      </c>
    </row>
    <row r="361" spans="1:38" ht="15">
      <c r="A361" s="140">
        <v>10949</v>
      </c>
      <c r="B361" s="140">
        <v>339</v>
      </c>
      <c r="C361" s="146" t="s">
        <v>1095</v>
      </c>
      <c r="D361" s="147" t="s">
        <v>1094</v>
      </c>
      <c r="E361" s="191" t="s">
        <v>203</v>
      </c>
      <c r="F361" s="153">
        <v>1</v>
      </c>
      <c r="G361" s="154" t="s">
        <v>1245</v>
      </c>
      <c r="H361" s="140">
        <v>500</v>
      </c>
      <c r="I361" s="140" t="s">
        <v>376</v>
      </c>
      <c r="J361" s="140">
        <v>247</v>
      </c>
      <c r="K361" s="142">
        <v>281</v>
      </c>
      <c r="L361" s="142">
        <v>272.4</v>
      </c>
      <c r="M361" s="143">
        <v>280</v>
      </c>
      <c r="N361" s="144">
        <v>40</v>
      </c>
      <c r="O361" s="143">
        <f t="shared" si="83"/>
        <v>240</v>
      </c>
      <c r="P361" s="140">
        <v>104.81</v>
      </c>
      <c r="Q361" s="159">
        <f t="shared" si="84"/>
        <v>25154.4</v>
      </c>
      <c r="R361" s="140">
        <v>60</v>
      </c>
      <c r="S361" s="151">
        <f t="shared" si="87"/>
        <v>6288.6</v>
      </c>
      <c r="T361" s="142">
        <v>60</v>
      </c>
      <c r="U361" s="151">
        <f t="shared" si="88"/>
        <v>6288.6</v>
      </c>
      <c r="V361" s="140">
        <v>60</v>
      </c>
      <c r="W361" s="151">
        <f t="shared" si="89"/>
        <v>6288.6</v>
      </c>
      <c r="X361" s="142">
        <v>60</v>
      </c>
      <c r="Y361" s="151">
        <f t="shared" si="90"/>
        <v>6288.6</v>
      </c>
      <c r="Z361" s="146"/>
      <c r="AA361" s="155">
        <f t="shared" si="91"/>
        <v>240</v>
      </c>
      <c r="AB361" s="155">
        <f t="shared" si="86"/>
        <v>0</v>
      </c>
      <c r="AC361" s="149">
        <f t="shared" si="85"/>
        <v>60</v>
      </c>
      <c r="AD361" s="156">
        <f t="shared" si="92"/>
        <v>6288.6</v>
      </c>
      <c r="AG361" s="149">
        <v>227</v>
      </c>
      <c r="AH361" s="149">
        <v>23791.87000000001</v>
      </c>
      <c r="AI361" s="150" t="s">
        <v>1356</v>
      </c>
      <c r="AJ361" s="206">
        <f t="shared" si="82"/>
        <v>272.4</v>
      </c>
      <c r="AL361" s="149">
        <f t="shared" si="81"/>
        <v>0</v>
      </c>
    </row>
    <row r="362" spans="1:38" ht="15">
      <c r="A362" s="140">
        <v>10949</v>
      </c>
      <c r="B362" s="140">
        <v>340</v>
      </c>
      <c r="C362" s="146" t="s">
        <v>1098</v>
      </c>
      <c r="D362" s="147" t="s">
        <v>1096</v>
      </c>
      <c r="E362" s="191" t="s">
        <v>526</v>
      </c>
      <c r="F362" s="153">
        <v>1</v>
      </c>
      <c r="G362" s="154" t="s">
        <v>1245</v>
      </c>
      <c r="H362" s="140">
        <v>500</v>
      </c>
      <c r="I362" s="140" t="s">
        <v>376</v>
      </c>
      <c r="J362" s="140">
        <v>61</v>
      </c>
      <c r="K362" s="142">
        <v>114</v>
      </c>
      <c r="L362" s="142">
        <v>22.799999999999997</v>
      </c>
      <c r="M362" s="143">
        <v>50</v>
      </c>
      <c r="N362" s="144">
        <v>79</v>
      </c>
      <c r="O362" s="143">
        <v>0</v>
      </c>
      <c r="P362" s="140">
        <v>169.06</v>
      </c>
      <c r="Q362" s="159">
        <f t="shared" si="84"/>
        <v>0</v>
      </c>
      <c r="R362" s="140">
        <v>0</v>
      </c>
      <c r="S362" s="151">
        <f t="shared" si="87"/>
        <v>0</v>
      </c>
      <c r="T362" s="142">
        <v>0</v>
      </c>
      <c r="U362" s="151">
        <f t="shared" si="88"/>
        <v>0</v>
      </c>
      <c r="V362" s="140">
        <v>0</v>
      </c>
      <c r="W362" s="151">
        <f t="shared" si="89"/>
        <v>0</v>
      </c>
      <c r="X362" s="142">
        <v>0</v>
      </c>
      <c r="Y362" s="151">
        <f t="shared" si="90"/>
        <v>0</v>
      </c>
      <c r="Z362" s="146"/>
      <c r="AA362" s="155">
        <f t="shared" si="91"/>
        <v>0</v>
      </c>
      <c r="AB362" s="155">
        <f t="shared" si="86"/>
        <v>0</v>
      </c>
      <c r="AC362" s="149">
        <f t="shared" si="85"/>
        <v>0</v>
      </c>
      <c r="AD362" s="156">
        <f t="shared" si="92"/>
        <v>0</v>
      </c>
      <c r="AG362" s="149">
        <v>19</v>
      </c>
      <c r="AH362" s="149">
        <v>3212.14</v>
      </c>
      <c r="AI362" s="150" t="s">
        <v>1356</v>
      </c>
      <c r="AJ362" s="206">
        <f t="shared" si="82"/>
        <v>22.799999999999997</v>
      </c>
      <c r="AL362" s="149">
        <f t="shared" si="81"/>
        <v>0</v>
      </c>
    </row>
    <row r="363" spans="1:38" ht="15">
      <c r="A363" s="140">
        <v>10949</v>
      </c>
      <c r="B363" s="140">
        <v>341</v>
      </c>
      <c r="C363" s="146" t="s">
        <v>1097</v>
      </c>
      <c r="D363" s="147" t="s">
        <v>1096</v>
      </c>
      <c r="E363" s="152" t="s">
        <v>1232</v>
      </c>
      <c r="F363" s="140">
        <v>1</v>
      </c>
      <c r="G363" s="146" t="s">
        <v>1247</v>
      </c>
      <c r="H363" s="140">
        <v>30</v>
      </c>
      <c r="I363" s="140" t="s">
        <v>1238</v>
      </c>
      <c r="J363" s="140">
        <v>170</v>
      </c>
      <c r="K363" s="142">
        <v>57</v>
      </c>
      <c r="L363" s="142">
        <v>43.2</v>
      </c>
      <c r="M363" s="143">
        <v>60</v>
      </c>
      <c r="N363" s="144">
        <v>72</v>
      </c>
      <c r="O363" s="143">
        <v>0</v>
      </c>
      <c r="P363" s="140">
        <v>30</v>
      </c>
      <c r="Q363" s="159">
        <f t="shared" si="84"/>
        <v>0</v>
      </c>
      <c r="R363" s="140">
        <v>0</v>
      </c>
      <c r="S363" s="151">
        <f t="shared" si="87"/>
        <v>0</v>
      </c>
      <c r="T363" s="142">
        <v>0</v>
      </c>
      <c r="U363" s="151">
        <f t="shared" si="88"/>
        <v>0</v>
      </c>
      <c r="V363" s="140">
        <v>0</v>
      </c>
      <c r="W363" s="151">
        <f t="shared" si="89"/>
        <v>0</v>
      </c>
      <c r="X363" s="142">
        <v>0</v>
      </c>
      <c r="Y363" s="151">
        <f t="shared" si="90"/>
        <v>0</v>
      </c>
      <c r="Z363" s="146"/>
      <c r="AA363" s="155">
        <f t="shared" si="91"/>
        <v>0</v>
      </c>
      <c r="AB363" s="155">
        <f t="shared" si="86"/>
        <v>0</v>
      </c>
      <c r="AC363" s="149">
        <f t="shared" si="85"/>
        <v>0</v>
      </c>
      <c r="AD363" s="156">
        <f t="shared" si="92"/>
        <v>0</v>
      </c>
      <c r="AG363" s="149">
        <v>36</v>
      </c>
      <c r="AH363" s="149">
        <v>1224</v>
      </c>
      <c r="AI363" s="150" t="s">
        <v>1352</v>
      </c>
      <c r="AJ363" s="206">
        <f t="shared" si="82"/>
        <v>43.2</v>
      </c>
      <c r="AL363" s="149">
        <f t="shared" si="81"/>
        <v>0</v>
      </c>
    </row>
    <row r="364" spans="1:38" ht="15">
      <c r="A364" s="130" t="s">
        <v>1199</v>
      </c>
      <c r="B364" s="130" t="s">
        <v>2</v>
      </c>
      <c r="C364" s="130" t="s">
        <v>1200</v>
      </c>
      <c r="D364" s="198" t="s">
        <v>1201</v>
      </c>
      <c r="E364" s="134" t="s">
        <v>1285</v>
      </c>
      <c r="F364" s="134" t="s">
        <v>1295</v>
      </c>
      <c r="G364" s="134" t="s">
        <v>1202</v>
      </c>
      <c r="H364" s="130" t="s">
        <v>1579</v>
      </c>
      <c r="I364" s="130" t="s">
        <v>1203</v>
      </c>
      <c r="J364" s="199"/>
      <c r="K364" s="131" t="s">
        <v>1205</v>
      </c>
      <c r="L364" s="132"/>
      <c r="M364" s="133" t="s">
        <v>0</v>
      </c>
      <c r="N364" s="134" t="s">
        <v>1214</v>
      </c>
      <c r="O364" s="133" t="s">
        <v>0</v>
      </c>
      <c r="P364" s="130" t="s">
        <v>1390</v>
      </c>
      <c r="Q364" s="200" t="s">
        <v>1206</v>
      </c>
      <c r="R364" s="201" t="s">
        <v>1289</v>
      </c>
      <c r="S364" s="132"/>
      <c r="T364" s="201" t="s">
        <v>1290</v>
      </c>
      <c r="U364" s="202"/>
      <c r="V364" s="201" t="s">
        <v>1291</v>
      </c>
      <c r="W364" s="132"/>
      <c r="X364" s="201" t="s">
        <v>1292</v>
      </c>
      <c r="Y364" s="202"/>
      <c r="Z364" s="203" t="s">
        <v>608</v>
      </c>
      <c r="AA364" s="204"/>
      <c r="AB364" s="204"/>
      <c r="AC364" s="149" t="s">
        <v>1318</v>
      </c>
      <c r="AD364" s="149" t="s">
        <v>1389</v>
      </c>
      <c r="AE364" s="205" t="s">
        <v>3</v>
      </c>
      <c r="AF364" s="205" t="s">
        <v>1349</v>
      </c>
      <c r="AG364" s="149" t="s">
        <v>1297</v>
      </c>
      <c r="AH364" s="149" t="s">
        <v>6</v>
      </c>
      <c r="AI364" s="150" t="s">
        <v>1307</v>
      </c>
      <c r="AJ364" s="206" t="s">
        <v>1303</v>
      </c>
      <c r="AK364" s="149" t="s">
        <v>4</v>
      </c>
      <c r="AL364" s="149" t="s">
        <v>1304</v>
      </c>
    </row>
    <row r="365" spans="1:35" ht="15">
      <c r="A365" s="135"/>
      <c r="B365" s="139"/>
      <c r="C365" s="207"/>
      <c r="D365" s="208"/>
      <c r="E365" s="136"/>
      <c r="F365" s="136" t="s">
        <v>1294</v>
      </c>
      <c r="G365" s="136"/>
      <c r="H365" s="139" t="s">
        <v>1204</v>
      </c>
      <c r="I365" s="136" t="s">
        <v>1204</v>
      </c>
      <c r="J365" s="136">
        <v>2562</v>
      </c>
      <c r="K365" s="136">
        <v>2563</v>
      </c>
      <c r="L365" s="137">
        <v>2564</v>
      </c>
      <c r="M365" s="138" t="s">
        <v>1537</v>
      </c>
      <c r="N365" s="136" t="s">
        <v>4</v>
      </c>
      <c r="O365" s="138" t="s">
        <v>1538</v>
      </c>
      <c r="P365" s="139" t="s">
        <v>1286</v>
      </c>
      <c r="Q365" s="209" t="s">
        <v>1391</v>
      </c>
      <c r="R365" s="210" t="s">
        <v>5</v>
      </c>
      <c r="S365" s="139" t="s">
        <v>1208</v>
      </c>
      <c r="T365" s="139" t="s">
        <v>5</v>
      </c>
      <c r="U365" s="211" t="s">
        <v>1208</v>
      </c>
      <c r="V365" s="210" t="s">
        <v>5</v>
      </c>
      <c r="W365" s="139" t="s">
        <v>1208</v>
      </c>
      <c r="X365" s="139" t="s">
        <v>5</v>
      </c>
      <c r="Y365" s="211" t="s">
        <v>1208</v>
      </c>
      <c r="Z365" s="207"/>
      <c r="AA365" s="197"/>
      <c r="AB365" s="197"/>
      <c r="AG365" s="149" t="s">
        <v>1494</v>
      </c>
      <c r="AH365" s="149" t="s">
        <v>1207</v>
      </c>
      <c r="AI365" s="150" t="s">
        <v>1308</v>
      </c>
    </row>
    <row r="366" spans="1:38" ht="15">
      <c r="A366" s="140">
        <v>10949</v>
      </c>
      <c r="B366" s="140">
        <v>342</v>
      </c>
      <c r="C366" s="146" t="s">
        <v>1100</v>
      </c>
      <c r="D366" s="147" t="s">
        <v>1099</v>
      </c>
      <c r="E366" s="191" t="s">
        <v>204</v>
      </c>
      <c r="F366" s="153">
        <v>1</v>
      </c>
      <c r="G366" s="154" t="s">
        <v>1245</v>
      </c>
      <c r="H366" s="140">
        <v>250</v>
      </c>
      <c r="I366" s="140" t="s">
        <v>376</v>
      </c>
      <c r="J366" s="140">
        <v>23.6</v>
      </c>
      <c r="K366" s="170">
        <v>43.4</v>
      </c>
      <c r="L366" s="142">
        <v>32.400000000000006</v>
      </c>
      <c r="M366" s="143">
        <v>35</v>
      </c>
      <c r="N366" s="144">
        <v>5</v>
      </c>
      <c r="O366" s="143">
        <f t="shared" si="83"/>
        <v>30</v>
      </c>
      <c r="P366" s="140">
        <v>225</v>
      </c>
      <c r="Q366" s="159">
        <f t="shared" si="84"/>
        <v>6750</v>
      </c>
      <c r="R366" s="140">
        <v>10</v>
      </c>
      <c r="S366" s="151">
        <f t="shared" si="87"/>
        <v>2250</v>
      </c>
      <c r="T366" s="142">
        <v>0</v>
      </c>
      <c r="U366" s="151">
        <f t="shared" si="88"/>
        <v>0</v>
      </c>
      <c r="V366" s="140">
        <v>10</v>
      </c>
      <c r="W366" s="151">
        <f t="shared" si="89"/>
        <v>2250</v>
      </c>
      <c r="X366" s="142">
        <v>10</v>
      </c>
      <c r="Y366" s="151">
        <f t="shared" si="90"/>
        <v>2250</v>
      </c>
      <c r="Z366" s="146"/>
      <c r="AA366" s="155">
        <f t="shared" si="91"/>
        <v>30</v>
      </c>
      <c r="AB366" s="155">
        <f t="shared" si="86"/>
        <v>0</v>
      </c>
      <c r="AC366" s="149">
        <f t="shared" si="85"/>
        <v>7.5</v>
      </c>
      <c r="AD366" s="156">
        <f t="shared" si="92"/>
        <v>1687.5</v>
      </c>
      <c r="AG366" s="149">
        <v>27</v>
      </c>
      <c r="AH366" s="149">
        <v>6075</v>
      </c>
      <c r="AI366" s="150" t="s">
        <v>1352</v>
      </c>
      <c r="AJ366" s="206">
        <f t="shared" si="82"/>
        <v>32.400000000000006</v>
      </c>
      <c r="AL366" s="149">
        <f t="shared" si="81"/>
        <v>0</v>
      </c>
    </row>
    <row r="367" spans="1:38" ht="15">
      <c r="A367" s="140">
        <v>10949</v>
      </c>
      <c r="B367" s="140">
        <v>343</v>
      </c>
      <c r="C367" s="146" t="s">
        <v>1102</v>
      </c>
      <c r="D367" s="147" t="s">
        <v>1101</v>
      </c>
      <c r="E367" s="191" t="s">
        <v>205</v>
      </c>
      <c r="F367" s="153">
        <v>1</v>
      </c>
      <c r="G367" s="154" t="s">
        <v>1248</v>
      </c>
      <c r="H367" s="140">
        <v>1</v>
      </c>
      <c r="I367" s="140" t="s">
        <v>389</v>
      </c>
      <c r="J367" s="140">
        <v>820</v>
      </c>
      <c r="K367" s="142">
        <v>1670</v>
      </c>
      <c r="L367" s="142">
        <v>1440</v>
      </c>
      <c r="M367" s="143">
        <v>1500</v>
      </c>
      <c r="N367" s="144">
        <v>300</v>
      </c>
      <c r="O367" s="143">
        <f t="shared" si="83"/>
        <v>1200</v>
      </c>
      <c r="P367" s="140">
        <v>4</v>
      </c>
      <c r="Q367" s="159">
        <f t="shared" si="84"/>
        <v>4800</v>
      </c>
      <c r="R367" s="140">
        <v>300</v>
      </c>
      <c r="S367" s="151">
        <f t="shared" si="87"/>
        <v>1200</v>
      </c>
      <c r="T367" s="142">
        <v>300</v>
      </c>
      <c r="U367" s="151">
        <f t="shared" si="88"/>
        <v>1200</v>
      </c>
      <c r="V367" s="140">
        <v>300</v>
      </c>
      <c r="W367" s="151">
        <f t="shared" si="89"/>
        <v>1200</v>
      </c>
      <c r="X367" s="142">
        <v>300</v>
      </c>
      <c r="Y367" s="151">
        <f t="shared" si="90"/>
        <v>1200</v>
      </c>
      <c r="Z367" s="146"/>
      <c r="AA367" s="155">
        <f t="shared" si="91"/>
        <v>1200</v>
      </c>
      <c r="AB367" s="155">
        <f t="shared" si="86"/>
        <v>0</v>
      </c>
      <c r="AC367" s="149">
        <f t="shared" si="85"/>
        <v>300</v>
      </c>
      <c r="AD367" s="156">
        <f t="shared" si="92"/>
        <v>1200</v>
      </c>
      <c r="AG367" s="149">
        <v>1200</v>
      </c>
      <c r="AH367" s="149">
        <v>4614</v>
      </c>
      <c r="AI367" s="150" t="s">
        <v>1352</v>
      </c>
      <c r="AJ367" s="206">
        <f t="shared" si="82"/>
        <v>1440</v>
      </c>
      <c r="AL367" s="149">
        <f t="shared" si="81"/>
        <v>0</v>
      </c>
    </row>
    <row r="368" spans="1:38" ht="15">
      <c r="A368" s="140">
        <v>10949</v>
      </c>
      <c r="B368" s="140">
        <v>344</v>
      </c>
      <c r="C368" s="146" t="s">
        <v>1104</v>
      </c>
      <c r="D368" s="147" t="s">
        <v>1103</v>
      </c>
      <c r="E368" s="191" t="s">
        <v>206</v>
      </c>
      <c r="F368" s="153">
        <v>1</v>
      </c>
      <c r="G368" s="154" t="s">
        <v>1245</v>
      </c>
      <c r="H368" s="140">
        <v>1000</v>
      </c>
      <c r="I368" s="140" t="s">
        <v>376</v>
      </c>
      <c r="J368" s="140">
        <v>470</v>
      </c>
      <c r="K368" s="142">
        <v>667</v>
      </c>
      <c r="L368" s="142">
        <v>634.8</v>
      </c>
      <c r="M368" s="143">
        <v>650</v>
      </c>
      <c r="N368" s="144">
        <v>100</v>
      </c>
      <c r="O368" s="143">
        <f t="shared" si="83"/>
        <v>550</v>
      </c>
      <c r="P368" s="140">
        <v>120.62000000000008</v>
      </c>
      <c r="Q368" s="159">
        <f t="shared" si="84"/>
        <v>66341.00000000004</v>
      </c>
      <c r="R368" s="140">
        <v>140</v>
      </c>
      <c r="S368" s="151">
        <f t="shared" si="87"/>
        <v>16886.80000000001</v>
      </c>
      <c r="T368" s="142">
        <v>130</v>
      </c>
      <c r="U368" s="151">
        <f t="shared" si="88"/>
        <v>15680.60000000001</v>
      </c>
      <c r="V368" s="140">
        <v>140</v>
      </c>
      <c r="W368" s="151">
        <f t="shared" si="89"/>
        <v>16886.80000000001</v>
      </c>
      <c r="X368" s="142">
        <v>140</v>
      </c>
      <c r="Y368" s="151">
        <f t="shared" si="90"/>
        <v>16886.80000000001</v>
      </c>
      <c r="Z368" s="146"/>
      <c r="AA368" s="155">
        <f t="shared" si="91"/>
        <v>550</v>
      </c>
      <c r="AB368" s="155">
        <f t="shared" si="86"/>
        <v>0</v>
      </c>
      <c r="AC368" s="149">
        <f t="shared" si="85"/>
        <v>137.5</v>
      </c>
      <c r="AD368" s="156">
        <f t="shared" si="92"/>
        <v>16585.25000000001</v>
      </c>
      <c r="AG368" s="149">
        <v>529</v>
      </c>
      <c r="AH368" s="149">
        <v>63807.98000000004</v>
      </c>
      <c r="AI368" s="150" t="s">
        <v>1355</v>
      </c>
      <c r="AJ368" s="206">
        <f t="shared" si="82"/>
        <v>634.8</v>
      </c>
      <c r="AL368" s="149">
        <f t="shared" si="81"/>
        <v>0</v>
      </c>
    </row>
    <row r="369" spans="1:38" ht="15">
      <c r="A369" s="140">
        <v>10949</v>
      </c>
      <c r="B369" s="140">
        <v>345</v>
      </c>
      <c r="C369" s="146" t="s">
        <v>1108</v>
      </c>
      <c r="D369" s="147" t="s">
        <v>1107</v>
      </c>
      <c r="E369" s="191" t="s">
        <v>224</v>
      </c>
      <c r="F369" s="153">
        <v>2</v>
      </c>
      <c r="G369" s="154" t="s">
        <v>1245</v>
      </c>
      <c r="H369" s="140">
        <v>500</v>
      </c>
      <c r="I369" s="140" t="s">
        <v>376</v>
      </c>
      <c r="J369" s="140">
        <v>425</v>
      </c>
      <c r="K369" s="142">
        <v>428</v>
      </c>
      <c r="L369" s="142">
        <v>493.20000000000005</v>
      </c>
      <c r="M369" s="143">
        <v>500</v>
      </c>
      <c r="N369" s="144">
        <v>60</v>
      </c>
      <c r="O369" s="143">
        <f t="shared" si="83"/>
        <v>440</v>
      </c>
      <c r="P369" s="140">
        <v>245</v>
      </c>
      <c r="Q369" s="159">
        <f t="shared" si="84"/>
        <v>107800</v>
      </c>
      <c r="R369" s="140">
        <v>120</v>
      </c>
      <c r="S369" s="151">
        <f t="shared" si="87"/>
        <v>29400</v>
      </c>
      <c r="T369" s="142">
        <v>100</v>
      </c>
      <c r="U369" s="151">
        <f t="shared" si="88"/>
        <v>24500</v>
      </c>
      <c r="V369" s="140">
        <v>120</v>
      </c>
      <c r="W369" s="151">
        <f t="shared" si="89"/>
        <v>29400</v>
      </c>
      <c r="X369" s="142">
        <v>100</v>
      </c>
      <c r="Y369" s="151">
        <f t="shared" si="90"/>
        <v>24500</v>
      </c>
      <c r="Z369" s="146"/>
      <c r="AA369" s="155">
        <f t="shared" si="91"/>
        <v>440</v>
      </c>
      <c r="AB369" s="155">
        <f t="shared" si="86"/>
        <v>0</v>
      </c>
      <c r="AC369" s="149">
        <f t="shared" si="85"/>
        <v>110</v>
      </c>
      <c r="AD369" s="156">
        <f t="shared" si="92"/>
        <v>26950</v>
      </c>
      <c r="AG369" s="149">
        <f>227+184</f>
        <v>411</v>
      </c>
      <c r="AH369" s="149">
        <f>55615+36718.12</f>
        <v>92333.12</v>
      </c>
      <c r="AI369" s="150" t="s">
        <v>1358</v>
      </c>
      <c r="AJ369" s="206">
        <f t="shared" si="82"/>
        <v>493.20000000000005</v>
      </c>
      <c r="AL369" s="149">
        <f t="shared" si="81"/>
        <v>0</v>
      </c>
    </row>
    <row r="370" spans="1:38" ht="15">
      <c r="A370" s="140">
        <v>10949</v>
      </c>
      <c r="B370" s="140">
        <v>346</v>
      </c>
      <c r="C370" s="146" t="s">
        <v>1106</v>
      </c>
      <c r="D370" s="147" t="s">
        <v>1105</v>
      </c>
      <c r="E370" s="152" t="s">
        <v>214</v>
      </c>
      <c r="F370" s="153">
        <v>1</v>
      </c>
      <c r="G370" s="146" t="s">
        <v>1245</v>
      </c>
      <c r="H370" s="140">
        <v>1000</v>
      </c>
      <c r="I370" s="140" t="s">
        <v>376</v>
      </c>
      <c r="J370" s="140">
        <v>151</v>
      </c>
      <c r="K370" s="142">
        <v>173</v>
      </c>
      <c r="L370" s="142">
        <v>105.60000000000001</v>
      </c>
      <c r="M370" s="143">
        <v>150</v>
      </c>
      <c r="N370" s="144">
        <v>30</v>
      </c>
      <c r="O370" s="143">
        <f t="shared" si="83"/>
        <v>120</v>
      </c>
      <c r="P370" s="140">
        <v>140</v>
      </c>
      <c r="Q370" s="159">
        <f t="shared" si="84"/>
        <v>16800</v>
      </c>
      <c r="R370" s="140">
        <v>30</v>
      </c>
      <c r="S370" s="151">
        <f t="shared" si="87"/>
        <v>4200</v>
      </c>
      <c r="T370" s="142">
        <v>30</v>
      </c>
      <c r="U370" s="151">
        <f t="shared" si="88"/>
        <v>4200</v>
      </c>
      <c r="V370" s="140">
        <v>30</v>
      </c>
      <c r="W370" s="151">
        <f t="shared" si="89"/>
        <v>4200</v>
      </c>
      <c r="X370" s="142">
        <v>30</v>
      </c>
      <c r="Y370" s="151">
        <f t="shared" si="90"/>
        <v>4200</v>
      </c>
      <c r="Z370" s="146"/>
      <c r="AA370" s="155">
        <f t="shared" si="91"/>
        <v>120</v>
      </c>
      <c r="AB370" s="155">
        <f t="shared" si="86"/>
        <v>0</v>
      </c>
      <c r="AC370" s="149">
        <f t="shared" si="85"/>
        <v>30</v>
      </c>
      <c r="AD370" s="156">
        <f t="shared" si="92"/>
        <v>4200</v>
      </c>
      <c r="AG370" s="149">
        <v>88</v>
      </c>
      <c r="AH370" s="149">
        <v>11858</v>
      </c>
      <c r="AI370" s="150" t="s">
        <v>1356</v>
      </c>
      <c r="AJ370" s="206">
        <f t="shared" si="82"/>
        <v>105.60000000000001</v>
      </c>
      <c r="AL370" s="149">
        <f t="shared" si="81"/>
        <v>0</v>
      </c>
    </row>
    <row r="371" spans="1:38" ht="15">
      <c r="A371" s="140">
        <v>10949</v>
      </c>
      <c r="B371" s="140">
        <v>347</v>
      </c>
      <c r="C371" s="146">
        <v>789515</v>
      </c>
      <c r="D371" s="147" t="s">
        <v>1109</v>
      </c>
      <c r="E371" s="191" t="s">
        <v>207</v>
      </c>
      <c r="F371" s="153">
        <v>1</v>
      </c>
      <c r="G371" s="154" t="s">
        <v>1248</v>
      </c>
      <c r="H371" s="140">
        <v>1</v>
      </c>
      <c r="I371" s="140" t="s">
        <v>389</v>
      </c>
      <c r="J371" s="140">
        <v>325</v>
      </c>
      <c r="K371" s="142">
        <v>250</v>
      </c>
      <c r="L371" s="142">
        <v>241.20000000000002</v>
      </c>
      <c r="M371" s="143">
        <v>280</v>
      </c>
      <c r="N371" s="144">
        <v>80</v>
      </c>
      <c r="O371" s="143">
        <f t="shared" si="83"/>
        <v>200</v>
      </c>
      <c r="P371" s="140">
        <v>10.48</v>
      </c>
      <c r="Q371" s="159">
        <f t="shared" si="84"/>
        <v>2096</v>
      </c>
      <c r="R371" s="140">
        <v>50</v>
      </c>
      <c r="S371" s="151">
        <f t="shared" si="87"/>
        <v>524</v>
      </c>
      <c r="T371" s="142">
        <v>50</v>
      </c>
      <c r="U371" s="151">
        <f t="shared" si="88"/>
        <v>524</v>
      </c>
      <c r="V371" s="140">
        <v>50</v>
      </c>
      <c r="W371" s="151">
        <f t="shared" si="89"/>
        <v>524</v>
      </c>
      <c r="X371" s="142">
        <v>50</v>
      </c>
      <c r="Y371" s="151">
        <f t="shared" si="90"/>
        <v>524</v>
      </c>
      <c r="Z371" s="146"/>
      <c r="AA371" s="155">
        <f t="shared" si="91"/>
        <v>200</v>
      </c>
      <c r="AB371" s="155">
        <f t="shared" si="86"/>
        <v>0</v>
      </c>
      <c r="AC371" s="149">
        <f t="shared" si="85"/>
        <v>50</v>
      </c>
      <c r="AD371" s="156">
        <f t="shared" si="92"/>
        <v>524</v>
      </c>
      <c r="AG371" s="149">
        <v>201</v>
      </c>
      <c r="AH371" s="149">
        <v>2106.48</v>
      </c>
      <c r="AI371" s="150" t="s">
        <v>1300</v>
      </c>
      <c r="AJ371" s="206">
        <f t="shared" si="82"/>
        <v>241.20000000000002</v>
      </c>
      <c r="AL371" s="149">
        <f t="shared" si="81"/>
        <v>0</v>
      </c>
    </row>
    <row r="372" spans="1:38" ht="15">
      <c r="A372" s="140">
        <v>10949</v>
      </c>
      <c r="B372" s="140">
        <v>348</v>
      </c>
      <c r="C372" s="146" t="s">
        <v>1110</v>
      </c>
      <c r="D372" s="147" t="s">
        <v>1109</v>
      </c>
      <c r="E372" s="191" t="s">
        <v>208</v>
      </c>
      <c r="F372" s="153">
        <v>1</v>
      </c>
      <c r="G372" s="154" t="s">
        <v>1248</v>
      </c>
      <c r="H372" s="140">
        <v>1</v>
      </c>
      <c r="I372" s="140" t="s">
        <v>389</v>
      </c>
      <c r="J372" s="140">
        <v>50</v>
      </c>
      <c r="K372" s="142">
        <v>30</v>
      </c>
      <c r="L372" s="142">
        <v>58.800000000000004</v>
      </c>
      <c r="M372" s="143">
        <v>60</v>
      </c>
      <c r="N372" s="144">
        <v>10</v>
      </c>
      <c r="O372" s="143">
        <f t="shared" si="83"/>
        <v>50</v>
      </c>
      <c r="P372" s="140">
        <v>13.04</v>
      </c>
      <c r="Q372" s="159">
        <f t="shared" si="84"/>
        <v>652</v>
      </c>
      <c r="R372" s="140">
        <v>0</v>
      </c>
      <c r="S372" s="151">
        <f t="shared" si="87"/>
        <v>0</v>
      </c>
      <c r="T372" s="142">
        <v>25</v>
      </c>
      <c r="U372" s="151">
        <f t="shared" si="88"/>
        <v>326</v>
      </c>
      <c r="V372" s="140">
        <v>0</v>
      </c>
      <c r="W372" s="151">
        <f t="shared" si="89"/>
        <v>0</v>
      </c>
      <c r="X372" s="142">
        <v>25</v>
      </c>
      <c r="Y372" s="151">
        <f t="shared" si="90"/>
        <v>326</v>
      </c>
      <c r="Z372" s="146"/>
      <c r="AA372" s="155">
        <f t="shared" si="91"/>
        <v>50</v>
      </c>
      <c r="AB372" s="155">
        <f t="shared" si="86"/>
        <v>0</v>
      </c>
      <c r="AC372" s="149">
        <f t="shared" si="85"/>
        <v>12.5</v>
      </c>
      <c r="AD372" s="156">
        <f t="shared" si="92"/>
        <v>163</v>
      </c>
      <c r="AG372" s="149">
        <v>49</v>
      </c>
      <c r="AH372" s="149">
        <v>638.9599999999999</v>
      </c>
      <c r="AI372" s="150" t="s">
        <v>1300</v>
      </c>
      <c r="AJ372" s="206">
        <f t="shared" si="82"/>
        <v>58.800000000000004</v>
      </c>
      <c r="AL372" s="149">
        <f t="shared" si="81"/>
        <v>0</v>
      </c>
    </row>
    <row r="373" spans="1:38" ht="15">
      <c r="A373" s="140">
        <v>10949</v>
      </c>
      <c r="B373" s="140">
        <v>349</v>
      </c>
      <c r="C373" s="146" t="s">
        <v>1111</v>
      </c>
      <c r="D373" s="147" t="s">
        <v>1109</v>
      </c>
      <c r="E373" s="152" t="s">
        <v>1233</v>
      </c>
      <c r="F373" s="140">
        <v>1</v>
      </c>
      <c r="G373" s="146" t="s">
        <v>1245</v>
      </c>
      <c r="H373" s="140">
        <v>100</v>
      </c>
      <c r="I373" s="140" t="s">
        <v>376</v>
      </c>
      <c r="J373" s="140">
        <v>97</v>
      </c>
      <c r="K373" s="142">
        <v>114</v>
      </c>
      <c r="L373" s="142">
        <v>127.19999999999999</v>
      </c>
      <c r="M373" s="143">
        <v>140</v>
      </c>
      <c r="N373" s="144">
        <v>20</v>
      </c>
      <c r="O373" s="143">
        <f t="shared" si="83"/>
        <v>120</v>
      </c>
      <c r="P373" s="140">
        <v>145</v>
      </c>
      <c r="Q373" s="159">
        <f t="shared" si="84"/>
        <v>17400</v>
      </c>
      <c r="R373" s="140">
        <v>30</v>
      </c>
      <c r="S373" s="151">
        <f t="shared" si="87"/>
        <v>4350</v>
      </c>
      <c r="T373" s="142">
        <v>30</v>
      </c>
      <c r="U373" s="151">
        <f t="shared" si="88"/>
        <v>4350</v>
      </c>
      <c r="V373" s="140">
        <v>30</v>
      </c>
      <c r="W373" s="151">
        <f t="shared" si="89"/>
        <v>4350</v>
      </c>
      <c r="X373" s="142">
        <v>30</v>
      </c>
      <c r="Y373" s="151">
        <f t="shared" si="90"/>
        <v>4350</v>
      </c>
      <c r="Z373" s="146"/>
      <c r="AA373" s="155">
        <f t="shared" si="91"/>
        <v>120</v>
      </c>
      <c r="AB373" s="155">
        <f t="shared" si="86"/>
        <v>0</v>
      </c>
      <c r="AC373" s="149">
        <f t="shared" si="85"/>
        <v>30</v>
      </c>
      <c r="AD373" s="156">
        <f t="shared" si="92"/>
        <v>4350</v>
      </c>
      <c r="AG373" s="149">
        <v>106</v>
      </c>
      <c r="AH373" s="149">
        <v>14855</v>
      </c>
      <c r="AI373" s="150" t="s">
        <v>1352</v>
      </c>
      <c r="AJ373" s="206">
        <f t="shared" si="82"/>
        <v>127.19999999999999</v>
      </c>
      <c r="AL373" s="149">
        <f t="shared" si="81"/>
        <v>0</v>
      </c>
    </row>
    <row r="374" spans="1:42" ht="15">
      <c r="A374" s="140">
        <v>10949</v>
      </c>
      <c r="B374" s="140">
        <v>350</v>
      </c>
      <c r="C374" s="146">
        <v>521314</v>
      </c>
      <c r="D374" s="147" t="s">
        <v>1332</v>
      </c>
      <c r="E374" s="193" t="s">
        <v>601</v>
      </c>
      <c r="F374" s="153">
        <v>1</v>
      </c>
      <c r="G374" s="176" t="s">
        <v>1245</v>
      </c>
      <c r="H374" s="140">
        <v>100</v>
      </c>
      <c r="I374" s="140" t="s">
        <v>376</v>
      </c>
      <c r="J374" s="140">
        <v>95</v>
      </c>
      <c r="K374" s="142">
        <v>141</v>
      </c>
      <c r="L374" s="142">
        <v>135.60000000000002</v>
      </c>
      <c r="M374" s="143">
        <v>150</v>
      </c>
      <c r="N374" s="144">
        <v>30</v>
      </c>
      <c r="O374" s="143">
        <f t="shared" si="83"/>
        <v>120</v>
      </c>
      <c r="P374" s="160">
        <v>180</v>
      </c>
      <c r="Q374" s="159">
        <f t="shared" si="84"/>
        <v>21600</v>
      </c>
      <c r="R374" s="140">
        <v>30</v>
      </c>
      <c r="S374" s="151">
        <f t="shared" si="87"/>
        <v>5400</v>
      </c>
      <c r="T374" s="142">
        <v>30</v>
      </c>
      <c r="U374" s="151">
        <f t="shared" si="88"/>
        <v>5400</v>
      </c>
      <c r="V374" s="140">
        <v>30</v>
      </c>
      <c r="W374" s="151">
        <f t="shared" si="89"/>
        <v>5400</v>
      </c>
      <c r="X374" s="142">
        <v>30</v>
      </c>
      <c r="Y374" s="151">
        <f t="shared" si="90"/>
        <v>5400</v>
      </c>
      <c r="Z374" s="146"/>
      <c r="AA374" s="155">
        <f t="shared" si="91"/>
        <v>120</v>
      </c>
      <c r="AB374" s="155">
        <f t="shared" si="86"/>
        <v>0</v>
      </c>
      <c r="AC374" s="149">
        <f t="shared" si="85"/>
        <v>30</v>
      </c>
      <c r="AD374" s="156">
        <f t="shared" si="92"/>
        <v>5400</v>
      </c>
      <c r="AG374" s="149">
        <v>113</v>
      </c>
      <c r="AH374" s="149">
        <v>20340</v>
      </c>
      <c r="AI374" s="150" t="s">
        <v>1352</v>
      </c>
      <c r="AJ374" s="206">
        <f t="shared" si="82"/>
        <v>135.60000000000002</v>
      </c>
      <c r="AL374" s="149">
        <f t="shared" si="81"/>
        <v>0</v>
      </c>
      <c r="AO374" s="214"/>
      <c r="AP374" s="214"/>
    </row>
    <row r="375" spans="1:47" ht="15">
      <c r="A375" s="140">
        <v>10949</v>
      </c>
      <c r="B375" s="140">
        <v>351</v>
      </c>
      <c r="C375" s="146">
        <v>521333</v>
      </c>
      <c r="D375" s="147" t="s">
        <v>1332</v>
      </c>
      <c r="E375" s="152" t="s">
        <v>1234</v>
      </c>
      <c r="F375" s="140">
        <v>1</v>
      </c>
      <c r="G375" s="146" t="s">
        <v>1245</v>
      </c>
      <c r="H375" s="140">
        <v>100</v>
      </c>
      <c r="I375" s="140" t="s">
        <v>376</v>
      </c>
      <c r="J375" s="140">
        <v>0</v>
      </c>
      <c r="K375" s="142">
        <v>0</v>
      </c>
      <c r="L375" s="142">
        <v>0</v>
      </c>
      <c r="M375" s="143">
        <v>0</v>
      </c>
      <c r="N375" s="144">
        <v>0</v>
      </c>
      <c r="O375" s="143">
        <f t="shared" si="83"/>
        <v>0</v>
      </c>
      <c r="P375" s="140">
        <v>195</v>
      </c>
      <c r="Q375" s="159">
        <f t="shared" si="84"/>
        <v>0</v>
      </c>
      <c r="R375" s="140">
        <v>0</v>
      </c>
      <c r="S375" s="151">
        <f t="shared" si="87"/>
        <v>0</v>
      </c>
      <c r="T375" s="142">
        <v>0</v>
      </c>
      <c r="U375" s="151">
        <f t="shared" si="88"/>
        <v>0</v>
      </c>
      <c r="V375" s="140">
        <v>0</v>
      </c>
      <c r="W375" s="151">
        <f t="shared" si="89"/>
        <v>0</v>
      </c>
      <c r="X375" s="142">
        <v>0</v>
      </c>
      <c r="Y375" s="151">
        <f t="shared" si="90"/>
        <v>0</v>
      </c>
      <c r="Z375" s="146"/>
      <c r="AA375" s="155">
        <f t="shared" si="91"/>
        <v>0</v>
      </c>
      <c r="AB375" s="155">
        <f t="shared" si="86"/>
        <v>0</v>
      </c>
      <c r="AC375" s="149">
        <f t="shared" si="85"/>
        <v>0</v>
      </c>
      <c r="AD375" s="156">
        <f t="shared" si="92"/>
        <v>0</v>
      </c>
      <c r="AJ375" s="206">
        <f t="shared" si="82"/>
        <v>0</v>
      </c>
      <c r="AL375" s="149">
        <f t="shared" si="81"/>
        <v>0</v>
      </c>
      <c r="AQ375" s="214"/>
      <c r="AR375" s="214"/>
      <c r="AS375" s="214"/>
      <c r="AT375" s="214"/>
      <c r="AU375" s="214"/>
    </row>
    <row r="376" spans="1:47" s="214" customFormat="1" ht="15">
      <c r="A376" s="140">
        <v>10949</v>
      </c>
      <c r="B376" s="140">
        <v>352</v>
      </c>
      <c r="C376" s="146"/>
      <c r="D376" s="147"/>
      <c r="E376" s="152" t="s">
        <v>421</v>
      </c>
      <c r="F376" s="153">
        <v>1</v>
      </c>
      <c r="G376" s="146" t="s">
        <v>1248</v>
      </c>
      <c r="H376" s="140">
        <v>1</v>
      </c>
      <c r="I376" s="140" t="s">
        <v>388</v>
      </c>
      <c r="J376" s="140">
        <v>6157</v>
      </c>
      <c r="K376" s="142">
        <v>7524</v>
      </c>
      <c r="L376" s="142">
        <v>8608.8</v>
      </c>
      <c r="M376" s="143">
        <v>9000</v>
      </c>
      <c r="N376" s="144">
        <v>0</v>
      </c>
      <c r="O376" s="143">
        <f t="shared" si="83"/>
        <v>9000</v>
      </c>
      <c r="P376" s="140">
        <v>13</v>
      </c>
      <c r="Q376" s="159">
        <f t="shared" si="84"/>
        <v>117000</v>
      </c>
      <c r="R376" s="140">
        <v>2300</v>
      </c>
      <c r="S376" s="151">
        <f t="shared" si="87"/>
        <v>29900</v>
      </c>
      <c r="T376" s="142">
        <v>2200</v>
      </c>
      <c r="U376" s="151">
        <f t="shared" si="88"/>
        <v>28600</v>
      </c>
      <c r="V376" s="140">
        <v>2300</v>
      </c>
      <c r="W376" s="151">
        <f t="shared" si="89"/>
        <v>29900</v>
      </c>
      <c r="X376" s="142">
        <v>2200</v>
      </c>
      <c r="Y376" s="151">
        <f t="shared" si="90"/>
        <v>28600</v>
      </c>
      <c r="Z376" s="146"/>
      <c r="AA376" s="155">
        <f t="shared" si="91"/>
        <v>9000</v>
      </c>
      <c r="AB376" s="155">
        <f t="shared" si="86"/>
        <v>0</v>
      </c>
      <c r="AC376" s="149">
        <f t="shared" si="85"/>
        <v>2250</v>
      </c>
      <c r="AD376" s="156">
        <f t="shared" si="92"/>
        <v>29250</v>
      </c>
      <c r="AE376" s="148"/>
      <c r="AF376" s="148"/>
      <c r="AG376" s="149">
        <v>7174</v>
      </c>
      <c r="AH376" s="149">
        <v>87164.09999999996</v>
      </c>
      <c r="AI376" s="150" t="s">
        <v>1355</v>
      </c>
      <c r="AJ376" s="206">
        <f t="shared" si="82"/>
        <v>8608.8</v>
      </c>
      <c r="AK376" s="149"/>
      <c r="AL376" s="149">
        <f t="shared" si="81"/>
        <v>0</v>
      </c>
      <c r="AM376" s="149"/>
      <c r="AN376" s="149"/>
      <c r="AO376" s="149"/>
      <c r="AP376" s="149"/>
      <c r="AQ376" s="149"/>
      <c r="AR376" s="149"/>
      <c r="AS376" s="149"/>
      <c r="AT376" s="149"/>
      <c r="AU376" s="149"/>
    </row>
    <row r="377" spans="1:47" s="214" customFormat="1" ht="15">
      <c r="A377" s="140">
        <v>10949</v>
      </c>
      <c r="B377" s="140">
        <v>353</v>
      </c>
      <c r="C377" s="146"/>
      <c r="D377" s="147"/>
      <c r="E377" s="152" t="s">
        <v>1568</v>
      </c>
      <c r="F377" s="153">
        <v>1</v>
      </c>
      <c r="G377" s="146" t="s">
        <v>1248</v>
      </c>
      <c r="H377" s="140">
        <v>1</v>
      </c>
      <c r="I377" s="140" t="s">
        <v>388</v>
      </c>
      <c r="J377" s="140">
        <v>0</v>
      </c>
      <c r="K377" s="142">
        <v>60</v>
      </c>
      <c r="L377" s="142">
        <v>157.2</v>
      </c>
      <c r="M377" s="143">
        <v>200</v>
      </c>
      <c r="N377" s="144">
        <v>209</v>
      </c>
      <c r="O377" s="143">
        <v>0</v>
      </c>
      <c r="P377" s="140">
        <v>27</v>
      </c>
      <c r="Q377" s="159">
        <f t="shared" si="84"/>
        <v>0</v>
      </c>
      <c r="R377" s="140">
        <v>0</v>
      </c>
      <c r="S377" s="151">
        <f t="shared" si="87"/>
        <v>0</v>
      </c>
      <c r="T377" s="142">
        <v>0</v>
      </c>
      <c r="U377" s="151">
        <f t="shared" si="88"/>
        <v>0</v>
      </c>
      <c r="V377" s="140">
        <v>0</v>
      </c>
      <c r="W377" s="151">
        <f t="shared" si="89"/>
        <v>0</v>
      </c>
      <c r="X377" s="142">
        <v>0</v>
      </c>
      <c r="Y377" s="151">
        <f t="shared" si="90"/>
        <v>0</v>
      </c>
      <c r="Z377" s="146"/>
      <c r="AA377" s="155">
        <f aca="true" t="shared" si="93" ref="AA377:AA383">R377+T377+V377+X377</f>
        <v>0</v>
      </c>
      <c r="AB377" s="155">
        <f aca="true" t="shared" si="94" ref="AB377:AB383">O377-AA377</f>
        <v>0</v>
      </c>
      <c r="AC377" s="149">
        <f aca="true" t="shared" si="95" ref="AC377:AC383">O377/4</f>
        <v>0</v>
      </c>
      <c r="AD377" s="156"/>
      <c r="AE377" s="148"/>
      <c r="AF377" s="148"/>
      <c r="AG377" s="149">
        <v>131</v>
      </c>
      <c r="AH377" s="149">
        <v>3537</v>
      </c>
      <c r="AI377" s="150"/>
      <c r="AJ377" s="206">
        <f t="shared" si="82"/>
        <v>157.2</v>
      </c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</row>
    <row r="378" spans="1:38" ht="15">
      <c r="A378" s="140">
        <v>10949</v>
      </c>
      <c r="B378" s="140">
        <v>354</v>
      </c>
      <c r="C378" s="146" t="s">
        <v>1113</v>
      </c>
      <c r="D378" s="147" t="s">
        <v>1112</v>
      </c>
      <c r="E378" s="191" t="s">
        <v>458</v>
      </c>
      <c r="F378" s="153">
        <v>1</v>
      </c>
      <c r="G378" s="154" t="s">
        <v>1267</v>
      </c>
      <c r="H378" s="144">
        <v>450</v>
      </c>
      <c r="I378" s="144" t="s">
        <v>1250</v>
      </c>
      <c r="J378" s="140">
        <v>189</v>
      </c>
      <c r="K378" s="142">
        <v>431</v>
      </c>
      <c r="L378" s="142">
        <v>1177.1999999999998</v>
      </c>
      <c r="M378" s="143">
        <v>2000</v>
      </c>
      <c r="N378" s="144">
        <v>200</v>
      </c>
      <c r="O378" s="143">
        <f t="shared" si="83"/>
        <v>1800</v>
      </c>
      <c r="P378" s="146">
        <v>98.567314949</v>
      </c>
      <c r="Q378" s="159">
        <f t="shared" si="84"/>
        <v>177421.1669082</v>
      </c>
      <c r="R378" s="140">
        <v>450</v>
      </c>
      <c r="S378" s="151">
        <f t="shared" si="87"/>
        <v>44355.29172705</v>
      </c>
      <c r="T378" s="142">
        <v>450</v>
      </c>
      <c r="U378" s="151">
        <f t="shared" si="88"/>
        <v>44355.29172705</v>
      </c>
      <c r="V378" s="140">
        <v>450</v>
      </c>
      <c r="W378" s="151">
        <f t="shared" si="89"/>
        <v>44355.29172705</v>
      </c>
      <c r="X378" s="142">
        <v>450</v>
      </c>
      <c r="Y378" s="151">
        <f t="shared" si="90"/>
        <v>44355.29172705</v>
      </c>
      <c r="Z378" s="146"/>
      <c r="AA378" s="155">
        <f t="shared" si="93"/>
        <v>1800</v>
      </c>
      <c r="AB378" s="155">
        <f t="shared" si="94"/>
        <v>0</v>
      </c>
      <c r="AC378" s="149">
        <f t="shared" si="95"/>
        <v>450</v>
      </c>
      <c r="AD378" s="156">
        <f t="shared" si="92"/>
        <v>44355.29172705</v>
      </c>
      <c r="AG378" s="149">
        <f>318+663</f>
        <v>981</v>
      </c>
      <c r="AH378" s="149">
        <f>33670.56+12200</f>
        <v>45870.56</v>
      </c>
      <c r="AI378" s="150" t="s">
        <v>1352</v>
      </c>
      <c r="AJ378" s="206">
        <f t="shared" si="82"/>
        <v>1177.1999999999998</v>
      </c>
      <c r="AL378" s="149">
        <f t="shared" si="81"/>
        <v>0</v>
      </c>
    </row>
    <row r="379" spans="1:38" ht="15">
      <c r="A379" s="140">
        <v>10949</v>
      </c>
      <c r="B379" s="140">
        <v>355</v>
      </c>
      <c r="C379" s="146" t="s">
        <v>1115</v>
      </c>
      <c r="D379" s="147" t="s">
        <v>1114</v>
      </c>
      <c r="E379" s="191" t="s">
        <v>225</v>
      </c>
      <c r="F379" s="153">
        <v>2</v>
      </c>
      <c r="G379" s="154" t="s">
        <v>1247</v>
      </c>
      <c r="H379" s="140">
        <v>450</v>
      </c>
      <c r="I379" s="140" t="s">
        <v>1238</v>
      </c>
      <c r="J379" s="140">
        <v>16</v>
      </c>
      <c r="K379" s="142">
        <v>8</v>
      </c>
      <c r="L379" s="142">
        <v>9.600000000000001</v>
      </c>
      <c r="M379" s="143">
        <v>12</v>
      </c>
      <c r="N379" s="144">
        <v>8</v>
      </c>
      <c r="O379" s="143">
        <f t="shared" si="83"/>
        <v>4</v>
      </c>
      <c r="P379" s="140">
        <v>225</v>
      </c>
      <c r="Q379" s="159">
        <f t="shared" si="84"/>
        <v>900</v>
      </c>
      <c r="R379" s="140">
        <v>0</v>
      </c>
      <c r="S379" s="151">
        <f t="shared" si="87"/>
        <v>0</v>
      </c>
      <c r="T379" s="142">
        <v>0</v>
      </c>
      <c r="U379" s="151">
        <f t="shared" si="88"/>
        <v>0</v>
      </c>
      <c r="V379" s="140">
        <v>0</v>
      </c>
      <c r="W379" s="151">
        <f t="shared" si="89"/>
        <v>0</v>
      </c>
      <c r="X379" s="142">
        <v>4</v>
      </c>
      <c r="Y379" s="151">
        <f t="shared" si="90"/>
        <v>900</v>
      </c>
      <c r="Z379" s="146"/>
      <c r="AA379" s="155">
        <f t="shared" si="93"/>
        <v>4</v>
      </c>
      <c r="AB379" s="155">
        <f t="shared" si="94"/>
        <v>0</v>
      </c>
      <c r="AC379" s="149">
        <f t="shared" si="95"/>
        <v>1</v>
      </c>
      <c r="AD379" s="156">
        <f t="shared" si="92"/>
        <v>225</v>
      </c>
      <c r="AG379" s="149">
        <v>8</v>
      </c>
      <c r="AH379" s="149">
        <v>1800</v>
      </c>
      <c r="AI379" s="150" t="s">
        <v>1354</v>
      </c>
      <c r="AJ379" s="206">
        <f t="shared" si="82"/>
        <v>9.600000000000001</v>
      </c>
      <c r="AL379" s="149">
        <f t="shared" si="81"/>
        <v>0</v>
      </c>
    </row>
    <row r="380" spans="1:38" ht="15">
      <c r="A380" s="140">
        <v>10949</v>
      </c>
      <c r="B380" s="140">
        <v>356</v>
      </c>
      <c r="C380" s="146" t="s">
        <v>1117</v>
      </c>
      <c r="D380" s="147" t="s">
        <v>1116</v>
      </c>
      <c r="E380" s="191" t="s">
        <v>209</v>
      </c>
      <c r="F380" s="153">
        <v>1</v>
      </c>
      <c r="G380" s="154" t="s">
        <v>1261</v>
      </c>
      <c r="H380" s="140">
        <v>15</v>
      </c>
      <c r="I380" s="140" t="s">
        <v>1238</v>
      </c>
      <c r="J380" s="140">
        <v>370</v>
      </c>
      <c r="K380" s="142">
        <v>330</v>
      </c>
      <c r="L380" s="142">
        <v>384</v>
      </c>
      <c r="M380" s="143">
        <v>400</v>
      </c>
      <c r="N380" s="144">
        <v>0</v>
      </c>
      <c r="O380" s="143">
        <f t="shared" si="83"/>
        <v>400</v>
      </c>
      <c r="P380" s="140">
        <v>5</v>
      </c>
      <c r="Q380" s="159">
        <f t="shared" si="84"/>
        <v>2000</v>
      </c>
      <c r="R380" s="140">
        <v>100</v>
      </c>
      <c r="S380" s="151">
        <f t="shared" si="87"/>
        <v>500</v>
      </c>
      <c r="T380" s="142">
        <v>100</v>
      </c>
      <c r="U380" s="151">
        <f t="shared" si="88"/>
        <v>500</v>
      </c>
      <c r="V380" s="140">
        <v>100</v>
      </c>
      <c r="W380" s="151">
        <f t="shared" si="89"/>
        <v>500</v>
      </c>
      <c r="X380" s="142">
        <v>100</v>
      </c>
      <c r="Y380" s="151">
        <f t="shared" si="90"/>
        <v>500</v>
      </c>
      <c r="Z380" s="146"/>
      <c r="AA380" s="155">
        <f t="shared" si="93"/>
        <v>400</v>
      </c>
      <c r="AB380" s="155">
        <f t="shared" si="94"/>
        <v>0</v>
      </c>
      <c r="AC380" s="149">
        <f t="shared" si="95"/>
        <v>100</v>
      </c>
      <c r="AD380" s="156">
        <f t="shared" si="92"/>
        <v>500</v>
      </c>
      <c r="AG380" s="149">
        <v>320</v>
      </c>
      <c r="AH380" s="149">
        <v>1600</v>
      </c>
      <c r="AI380" s="150" t="s">
        <v>1352</v>
      </c>
      <c r="AJ380" s="206">
        <f t="shared" si="82"/>
        <v>384</v>
      </c>
      <c r="AL380" s="149">
        <f t="shared" si="81"/>
        <v>0</v>
      </c>
    </row>
    <row r="381" spans="1:38" ht="15">
      <c r="A381" s="140">
        <v>10949</v>
      </c>
      <c r="B381" s="140">
        <v>357</v>
      </c>
      <c r="C381" s="212">
        <v>758535</v>
      </c>
      <c r="D381" s="147" t="s">
        <v>1333</v>
      </c>
      <c r="E381" s="193" t="s">
        <v>1338</v>
      </c>
      <c r="F381" s="153">
        <v>1</v>
      </c>
      <c r="G381" s="176" t="s">
        <v>1270</v>
      </c>
      <c r="H381" s="223">
        <v>30</v>
      </c>
      <c r="I381" s="223" t="s">
        <v>1238</v>
      </c>
      <c r="J381" s="140">
        <v>30</v>
      </c>
      <c r="K381" s="142">
        <v>40</v>
      </c>
      <c r="L381" s="142">
        <v>12</v>
      </c>
      <c r="M381" s="143">
        <v>24</v>
      </c>
      <c r="N381" s="144">
        <v>0</v>
      </c>
      <c r="O381" s="143">
        <f t="shared" si="83"/>
        <v>24</v>
      </c>
      <c r="P381" s="142">
        <v>45</v>
      </c>
      <c r="Q381" s="159">
        <f t="shared" si="84"/>
        <v>1080</v>
      </c>
      <c r="R381" s="140">
        <v>12</v>
      </c>
      <c r="S381" s="151">
        <f t="shared" si="87"/>
        <v>540</v>
      </c>
      <c r="T381" s="142">
        <v>0</v>
      </c>
      <c r="U381" s="151">
        <f t="shared" si="88"/>
        <v>0</v>
      </c>
      <c r="V381" s="140">
        <v>12</v>
      </c>
      <c r="W381" s="151">
        <f t="shared" si="89"/>
        <v>540</v>
      </c>
      <c r="X381" s="142">
        <v>0</v>
      </c>
      <c r="Y381" s="151">
        <f t="shared" si="90"/>
        <v>0</v>
      </c>
      <c r="Z381" s="146"/>
      <c r="AA381" s="155">
        <f t="shared" si="93"/>
        <v>24</v>
      </c>
      <c r="AB381" s="155">
        <f t="shared" si="94"/>
        <v>0</v>
      </c>
      <c r="AC381" s="149">
        <f t="shared" si="95"/>
        <v>6</v>
      </c>
      <c r="AD381" s="156">
        <f t="shared" si="92"/>
        <v>270</v>
      </c>
      <c r="AG381" s="149">
        <v>10</v>
      </c>
      <c r="AH381" s="149">
        <v>450</v>
      </c>
      <c r="AI381" s="150" t="s">
        <v>1352</v>
      </c>
      <c r="AJ381" s="206">
        <f t="shared" si="82"/>
        <v>12</v>
      </c>
      <c r="AL381" s="149">
        <f t="shared" si="81"/>
        <v>0</v>
      </c>
    </row>
    <row r="382" spans="1:36" ht="30">
      <c r="A382" s="140">
        <v>10949</v>
      </c>
      <c r="B382" s="140">
        <v>358</v>
      </c>
      <c r="C382" s="212"/>
      <c r="D382" s="147"/>
      <c r="E382" s="193" t="s">
        <v>1535</v>
      </c>
      <c r="F382" s="153">
        <v>2</v>
      </c>
      <c r="G382" s="176" t="s">
        <v>1320</v>
      </c>
      <c r="H382" s="223">
        <v>1</v>
      </c>
      <c r="I382" s="223" t="s">
        <v>554</v>
      </c>
      <c r="J382" s="140">
        <v>0</v>
      </c>
      <c r="K382" s="142">
        <v>0</v>
      </c>
      <c r="L382" s="142">
        <v>0</v>
      </c>
      <c r="M382" s="143">
        <v>5</v>
      </c>
      <c r="N382" s="144">
        <v>0</v>
      </c>
      <c r="O382" s="143">
        <f t="shared" si="83"/>
        <v>5</v>
      </c>
      <c r="P382" s="142">
        <v>700</v>
      </c>
      <c r="Q382" s="159">
        <f t="shared" si="84"/>
        <v>3500</v>
      </c>
      <c r="R382" s="140">
        <v>2</v>
      </c>
      <c r="S382" s="151">
        <f t="shared" si="87"/>
        <v>1400</v>
      </c>
      <c r="T382" s="142">
        <v>1</v>
      </c>
      <c r="U382" s="151">
        <f t="shared" si="88"/>
        <v>700</v>
      </c>
      <c r="V382" s="140">
        <v>1</v>
      </c>
      <c r="W382" s="151">
        <f t="shared" si="89"/>
        <v>700</v>
      </c>
      <c r="X382" s="142">
        <v>1</v>
      </c>
      <c r="Y382" s="151">
        <f t="shared" si="90"/>
        <v>700</v>
      </c>
      <c r="Z382" s="146"/>
      <c r="AA382" s="155">
        <f t="shared" si="93"/>
        <v>5</v>
      </c>
      <c r="AB382" s="155">
        <f t="shared" si="94"/>
        <v>0</v>
      </c>
      <c r="AC382" s="149">
        <f t="shared" si="95"/>
        <v>1.25</v>
      </c>
      <c r="AD382" s="156">
        <f t="shared" si="92"/>
        <v>875</v>
      </c>
      <c r="AJ382" s="206">
        <f t="shared" si="82"/>
        <v>0</v>
      </c>
    </row>
    <row r="383" spans="1:36" ht="15">
      <c r="A383" s="140">
        <v>10949</v>
      </c>
      <c r="B383" s="140">
        <v>359</v>
      </c>
      <c r="C383" s="146" t="s">
        <v>1119</v>
      </c>
      <c r="D383" s="147" t="s">
        <v>1118</v>
      </c>
      <c r="E383" s="191" t="s">
        <v>1408</v>
      </c>
      <c r="F383" s="153">
        <v>2</v>
      </c>
      <c r="G383" s="146" t="s">
        <v>1320</v>
      </c>
      <c r="H383" s="140">
        <v>1</v>
      </c>
      <c r="I383" s="140" t="s">
        <v>554</v>
      </c>
      <c r="J383" s="140">
        <v>0</v>
      </c>
      <c r="K383" s="140">
        <v>0</v>
      </c>
      <c r="L383" s="142">
        <v>0</v>
      </c>
      <c r="M383" s="143">
        <v>50</v>
      </c>
      <c r="N383" s="140">
        <v>0</v>
      </c>
      <c r="O383" s="143">
        <f t="shared" si="83"/>
        <v>50</v>
      </c>
      <c r="P383" s="140">
        <v>50</v>
      </c>
      <c r="Q383" s="159">
        <f t="shared" si="84"/>
        <v>2500</v>
      </c>
      <c r="R383" s="140">
        <v>20</v>
      </c>
      <c r="S383" s="140">
        <f t="shared" si="87"/>
        <v>1000</v>
      </c>
      <c r="T383" s="140">
        <v>10</v>
      </c>
      <c r="U383" s="140">
        <f t="shared" si="88"/>
        <v>500</v>
      </c>
      <c r="V383" s="140">
        <v>10</v>
      </c>
      <c r="W383" s="140">
        <f t="shared" si="89"/>
        <v>500</v>
      </c>
      <c r="X383" s="140">
        <v>10</v>
      </c>
      <c r="Y383" s="140">
        <f t="shared" si="90"/>
        <v>500</v>
      </c>
      <c r="Z383" s="146"/>
      <c r="AA383" s="155">
        <f t="shared" si="93"/>
        <v>50</v>
      </c>
      <c r="AB383" s="155">
        <f t="shared" si="94"/>
        <v>0</v>
      </c>
      <c r="AC383" s="149">
        <f t="shared" si="95"/>
        <v>12.5</v>
      </c>
      <c r="AD383" s="149">
        <f t="shared" si="92"/>
        <v>625</v>
      </c>
      <c r="AJ383" s="206">
        <f t="shared" si="82"/>
        <v>0</v>
      </c>
    </row>
    <row r="384" spans="1:36" ht="15">
      <c r="A384" s="140">
        <v>10949</v>
      </c>
      <c r="B384" s="140">
        <v>360</v>
      </c>
      <c r="C384" s="146" t="s">
        <v>1121</v>
      </c>
      <c r="D384" s="147" t="s">
        <v>1120</v>
      </c>
      <c r="E384" s="152" t="s">
        <v>1316</v>
      </c>
      <c r="F384" s="153">
        <v>2</v>
      </c>
      <c r="G384" s="224" t="s">
        <v>1320</v>
      </c>
      <c r="H384" s="140">
        <v>1</v>
      </c>
      <c r="I384" s="140" t="s">
        <v>554</v>
      </c>
      <c r="J384" s="140">
        <v>0</v>
      </c>
      <c r="K384" s="142">
        <v>0</v>
      </c>
      <c r="L384" s="142">
        <v>36</v>
      </c>
      <c r="M384" s="143">
        <v>50</v>
      </c>
      <c r="N384" s="144">
        <v>0</v>
      </c>
      <c r="O384" s="143">
        <f t="shared" si="83"/>
        <v>50</v>
      </c>
      <c r="P384" s="140">
        <v>20</v>
      </c>
      <c r="Q384" s="159">
        <f t="shared" si="84"/>
        <v>1000</v>
      </c>
      <c r="R384" s="140">
        <v>10</v>
      </c>
      <c r="S384" s="151">
        <f t="shared" si="87"/>
        <v>200</v>
      </c>
      <c r="T384" s="140">
        <v>20</v>
      </c>
      <c r="U384" s="151">
        <f t="shared" si="88"/>
        <v>400</v>
      </c>
      <c r="V384" s="140">
        <v>10</v>
      </c>
      <c r="W384" s="151">
        <f t="shared" si="89"/>
        <v>200</v>
      </c>
      <c r="X384" s="140">
        <v>10</v>
      </c>
      <c r="Y384" s="151">
        <f t="shared" si="90"/>
        <v>200</v>
      </c>
      <c r="Z384" s="146"/>
      <c r="AA384" s="155">
        <f t="shared" si="91"/>
        <v>50</v>
      </c>
      <c r="AB384" s="155">
        <f t="shared" si="86"/>
        <v>0</v>
      </c>
      <c r="AC384" s="149">
        <f>O384/4</f>
        <v>12.5</v>
      </c>
      <c r="AD384" s="156">
        <f t="shared" si="92"/>
        <v>250</v>
      </c>
      <c r="AG384" s="149">
        <v>30</v>
      </c>
      <c r="AH384" s="149">
        <v>600</v>
      </c>
      <c r="AI384" s="150" t="s">
        <v>1354</v>
      </c>
      <c r="AJ384" s="206">
        <f t="shared" si="82"/>
        <v>36</v>
      </c>
    </row>
    <row r="385" spans="1:38" ht="15">
      <c r="A385" s="140">
        <v>10949</v>
      </c>
      <c r="B385" s="140">
        <v>361</v>
      </c>
      <c r="C385" s="146"/>
      <c r="D385" s="147"/>
      <c r="E385" s="191" t="s">
        <v>211</v>
      </c>
      <c r="F385" s="153">
        <v>1</v>
      </c>
      <c r="G385" s="154" t="s">
        <v>1252</v>
      </c>
      <c r="H385" s="140">
        <v>100</v>
      </c>
      <c r="I385" s="140" t="s">
        <v>1253</v>
      </c>
      <c r="J385" s="140">
        <v>547</v>
      </c>
      <c r="K385" s="142">
        <v>555</v>
      </c>
      <c r="L385" s="142">
        <v>483.59999999999997</v>
      </c>
      <c r="M385" s="143">
        <v>550</v>
      </c>
      <c r="N385" s="144">
        <v>100</v>
      </c>
      <c r="O385" s="143">
        <f t="shared" si="83"/>
        <v>450</v>
      </c>
      <c r="P385" s="140">
        <v>60</v>
      </c>
      <c r="Q385" s="159">
        <f t="shared" si="84"/>
        <v>27000</v>
      </c>
      <c r="R385" s="140">
        <v>120</v>
      </c>
      <c r="S385" s="151">
        <f t="shared" si="87"/>
        <v>7200</v>
      </c>
      <c r="T385" s="142">
        <v>110</v>
      </c>
      <c r="U385" s="151">
        <f t="shared" si="88"/>
        <v>6600</v>
      </c>
      <c r="V385" s="140">
        <v>120</v>
      </c>
      <c r="W385" s="151">
        <f t="shared" si="89"/>
        <v>7200</v>
      </c>
      <c r="X385" s="142">
        <v>100</v>
      </c>
      <c r="Y385" s="151">
        <f t="shared" si="90"/>
        <v>6000</v>
      </c>
      <c r="Z385" s="146"/>
      <c r="AA385" s="155">
        <f t="shared" si="91"/>
        <v>450</v>
      </c>
      <c r="AB385" s="155">
        <f t="shared" si="86"/>
        <v>0</v>
      </c>
      <c r="AC385" s="149">
        <f>O385/4</f>
        <v>112.5</v>
      </c>
      <c r="AD385" s="156">
        <f t="shared" si="92"/>
        <v>6750</v>
      </c>
      <c r="AG385" s="149">
        <v>403</v>
      </c>
      <c r="AH385" s="149">
        <v>24180</v>
      </c>
      <c r="AI385" s="150" t="s">
        <v>1356</v>
      </c>
      <c r="AJ385" s="206">
        <f t="shared" si="82"/>
        <v>483.59999999999997</v>
      </c>
      <c r="AL385" s="149">
        <f>AK385/H385</f>
        <v>0</v>
      </c>
    </row>
    <row r="386" spans="1:36" ht="15">
      <c r="A386" s="140">
        <v>10949</v>
      </c>
      <c r="B386" s="140">
        <v>362</v>
      </c>
      <c r="C386" s="146"/>
      <c r="D386" s="147"/>
      <c r="E386" s="191" t="s">
        <v>1575</v>
      </c>
      <c r="F386" s="153">
        <v>2</v>
      </c>
      <c r="G386" s="146" t="s">
        <v>1320</v>
      </c>
      <c r="H386" s="140">
        <v>1</v>
      </c>
      <c r="I386" s="140" t="s">
        <v>554</v>
      </c>
      <c r="J386" s="140">
        <v>0</v>
      </c>
      <c r="K386" s="140">
        <v>0</v>
      </c>
      <c r="L386" s="142">
        <v>0</v>
      </c>
      <c r="M386" s="143">
        <v>50</v>
      </c>
      <c r="N386" s="140">
        <v>0</v>
      </c>
      <c r="O386" s="143">
        <f t="shared" si="83"/>
        <v>50</v>
      </c>
      <c r="P386" s="140">
        <v>120</v>
      </c>
      <c r="Q386" s="159">
        <f t="shared" si="84"/>
        <v>6000</v>
      </c>
      <c r="R386" s="140">
        <v>10</v>
      </c>
      <c r="S386" s="140">
        <f t="shared" si="87"/>
        <v>1200</v>
      </c>
      <c r="T386" s="140">
        <v>20</v>
      </c>
      <c r="U386" s="140">
        <f t="shared" si="88"/>
        <v>2400</v>
      </c>
      <c r="V386" s="140">
        <v>10</v>
      </c>
      <c r="W386" s="140">
        <f t="shared" si="89"/>
        <v>1200</v>
      </c>
      <c r="X386" s="140">
        <v>10</v>
      </c>
      <c r="Y386" s="140">
        <f t="shared" si="90"/>
        <v>1200</v>
      </c>
      <c r="Z386" s="146"/>
      <c r="AA386" s="155">
        <f>R386+T386+V386+X386</f>
        <v>50</v>
      </c>
      <c r="AB386" s="155">
        <f>O386-AA386</f>
        <v>0</v>
      </c>
      <c r="AC386" s="149">
        <f>O386/4</f>
        <v>12.5</v>
      </c>
      <c r="AD386" s="149">
        <f t="shared" si="92"/>
        <v>1500</v>
      </c>
      <c r="AJ386" s="206">
        <f t="shared" si="82"/>
        <v>0</v>
      </c>
    </row>
    <row r="387" spans="1:38" ht="15">
      <c r="A387" s="140">
        <v>10949</v>
      </c>
      <c r="B387" s="140">
        <v>363</v>
      </c>
      <c r="C387" s="146"/>
      <c r="D387" s="147"/>
      <c r="E387" s="152" t="s">
        <v>569</v>
      </c>
      <c r="F387" s="153">
        <v>1</v>
      </c>
      <c r="G387" s="146" t="s">
        <v>1260</v>
      </c>
      <c r="H387" s="221">
        <v>60</v>
      </c>
      <c r="I387" s="221" t="s">
        <v>1250</v>
      </c>
      <c r="J387" s="140">
        <v>315</v>
      </c>
      <c r="K387" s="142">
        <v>20</v>
      </c>
      <c r="L387" s="142">
        <v>0</v>
      </c>
      <c r="M387" s="143">
        <v>0</v>
      </c>
      <c r="N387" s="144">
        <v>0</v>
      </c>
      <c r="O387" s="143">
        <f t="shared" si="83"/>
        <v>0</v>
      </c>
      <c r="P387" s="160">
        <v>35</v>
      </c>
      <c r="Q387" s="159">
        <f t="shared" si="84"/>
        <v>0</v>
      </c>
      <c r="R387" s="140">
        <v>0</v>
      </c>
      <c r="S387" s="151">
        <f t="shared" si="87"/>
        <v>0</v>
      </c>
      <c r="T387" s="142">
        <v>0</v>
      </c>
      <c r="U387" s="151">
        <f t="shared" si="88"/>
        <v>0</v>
      </c>
      <c r="V387" s="140">
        <v>0</v>
      </c>
      <c r="W387" s="151">
        <f t="shared" si="89"/>
        <v>0</v>
      </c>
      <c r="X387" s="142">
        <v>0</v>
      </c>
      <c r="Y387" s="151">
        <f t="shared" si="90"/>
        <v>0</v>
      </c>
      <c r="Z387" s="146"/>
      <c r="AA387" s="155">
        <f>R387+T387+V387+X387</f>
        <v>0</v>
      </c>
      <c r="AB387" s="155">
        <f>O387-AA387</f>
        <v>0</v>
      </c>
      <c r="AC387" s="149">
        <f>O387/4</f>
        <v>0</v>
      </c>
      <c r="AD387" s="156">
        <f t="shared" si="92"/>
        <v>0</v>
      </c>
      <c r="AI387" s="150" t="s">
        <v>1352</v>
      </c>
      <c r="AJ387" s="206">
        <f t="shared" si="82"/>
        <v>0</v>
      </c>
      <c r="AL387" s="149">
        <f>AK387/H387</f>
        <v>0</v>
      </c>
    </row>
    <row r="388" spans="1:36" ht="15">
      <c r="A388" s="140">
        <v>10949</v>
      </c>
      <c r="B388" s="140">
        <v>364</v>
      </c>
      <c r="C388" s="146"/>
      <c r="D388" s="147"/>
      <c r="E388" s="152" t="s">
        <v>1532</v>
      </c>
      <c r="F388" s="153">
        <v>2</v>
      </c>
      <c r="G388" s="146" t="s">
        <v>1320</v>
      </c>
      <c r="H388" s="221">
        <v>1</v>
      </c>
      <c r="I388" s="221" t="s">
        <v>554</v>
      </c>
      <c r="J388" s="140">
        <v>0</v>
      </c>
      <c r="K388" s="142">
        <v>0</v>
      </c>
      <c r="L388" s="142">
        <v>0</v>
      </c>
      <c r="M388" s="143">
        <v>0</v>
      </c>
      <c r="N388" s="144">
        <v>0</v>
      </c>
      <c r="O388" s="143">
        <f>M388-N388</f>
        <v>0</v>
      </c>
      <c r="P388" s="160">
        <v>700</v>
      </c>
      <c r="Q388" s="159">
        <f t="shared" si="84"/>
        <v>0</v>
      </c>
      <c r="R388" s="140">
        <v>0</v>
      </c>
      <c r="S388" s="151">
        <f t="shared" si="87"/>
        <v>0</v>
      </c>
      <c r="T388" s="142">
        <v>0</v>
      </c>
      <c r="U388" s="151">
        <f t="shared" si="88"/>
        <v>0</v>
      </c>
      <c r="V388" s="140">
        <v>0</v>
      </c>
      <c r="W388" s="151">
        <f t="shared" si="89"/>
        <v>0</v>
      </c>
      <c r="X388" s="142">
        <v>0</v>
      </c>
      <c r="Y388" s="151">
        <f t="shared" si="90"/>
        <v>0</v>
      </c>
      <c r="Z388" s="146"/>
      <c r="AA388" s="155">
        <f>R388+T388+V388+X388</f>
        <v>0</v>
      </c>
      <c r="AB388" s="155">
        <f>O388-AA388</f>
        <v>0</v>
      </c>
      <c r="AC388" s="149">
        <f>O388/4</f>
        <v>0</v>
      </c>
      <c r="AD388" s="156"/>
      <c r="AJ388" s="206">
        <f t="shared" si="82"/>
        <v>0</v>
      </c>
    </row>
    <row r="389" spans="1:36" ht="15">
      <c r="A389" s="140">
        <v>10949</v>
      </c>
      <c r="B389" s="140">
        <v>365</v>
      </c>
      <c r="C389" s="212">
        <v>107609</v>
      </c>
      <c r="D389" s="147" t="s">
        <v>1334</v>
      </c>
      <c r="E389" s="191" t="s">
        <v>1438</v>
      </c>
      <c r="F389" s="153">
        <v>1</v>
      </c>
      <c r="G389" s="146" t="s">
        <v>1252</v>
      </c>
      <c r="H389" s="140">
        <v>100</v>
      </c>
      <c r="I389" s="140" t="s">
        <v>1253</v>
      </c>
      <c r="J389" s="140">
        <v>9</v>
      </c>
      <c r="K389" s="140">
        <v>71</v>
      </c>
      <c r="L389" s="142">
        <v>0</v>
      </c>
      <c r="M389" s="143">
        <v>0</v>
      </c>
      <c r="N389" s="140">
        <v>0</v>
      </c>
      <c r="O389" s="143">
        <f t="shared" si="83"/>
        <v>0</v>
      </c>
      <c r="P389" s="140">
        <v>85</v>
      </c>
      <c r="Q389" s="159">
        <f t="shared" si="84"/>
        <v>0</v>
      </c>
      <c r="R389" s="140">
        <v>0</v>
      </c>
      <c r="S389" s="140">
        <f t="shared" si="87"/>
        <v>0</v>
      </c>
      <c r="T389" s="140">
        <v>0</v>
      </c>
      <c r="U389" s="140">
        <f t="shared" si="88"/>
        <v>0</v>
      </c>
      <c r="V389" s="140">
        <v>0</v>
      </c>
      <c r="W389" s="140">
        <f t="shared" si="89"/>
        <v>0</v>
      </c>
      <c r="X389" s="140">
        <v>0</v>
      </c>
      <c r="Y389" s="140">
        <f t="shared" si="90"/>
        <v>0</v>
      </c>
      <c r="Z389" s="146"/>
      <c r="AA389" s="155">
        <f t="shared" si="91"/>
        <v>0</v>
      </c>
      <c r="AB389" s="155">
        <f t="shared" si="86"/>
        <v>0</v>
      </c>
      <c r="AC389" s="149">
        <f aca="true" t="shared" si="96" ref="AC389:AC438">O389/4</f>
        <v>0</v>
      </c>
      <c r="AJ389" s="206">
        <f t="shared" si="82"/>
        <v>0</v>
      </c>
    </row>
    <row r="390" spans="1:38" ht="15">
      <c r="A390" s="140">
        <v>10949</v>
      </c>
      <c r="B390" s="140">
        <v>366</v>
      </c>
      <c r="C390" s="146" t="s">
        <v>1123</v>
      </c>
      <c r="D390" s="147" t="s">
        <v>1122</v>
      </c>
      <c r="E390" s="152" t="s">
        <v>570</v>
      </c>
      <c r="F390" s="153">
        <v>1</v>
      </c>
      <c r="G390" s="146" t="s">
        <v>1271</v>
      </c>
      <c r="H390" s="140">
        <v>1</v>
      </c>
      <c r="I390" s="140" t="s">
        <v>1235</v>
      </c>
      <c r="J390" s="140">
        <v>80</v>
      </c>
      <c r="K390" s="142">
        <v>50</v>
      </c>
      <c r="L390" s="142">
        <v>72</v>
      </c>
      <c r="M390" s="143">
        <v>80</v>
      </c>
      <c r="N390" s="144">
        <v>40</v>
      </c>
      <c r="O390" s="143">
        <f t="shared" si="83"/>
        <v>40</v>
      </c>
      <c r="P390" s="160">
        <v>35</v>
      </c>
      <c r="Q390" s="159">
        <f t="shared" si="84"/>
        <v>1400</v>
      </c>
      <c r="R390" s="140">
        <v>0</v>
      </c>
      <c r="S390" s="151">
        <f t="shared" si="87"/>
        <v>0</v>
      </c>
      <c r="T390" s="142">
        <v>0</v>
      </c>
      <c r="U390" s="151">
        <f t="shared" si="88"/>
        <v>0</v>
      </c>
      <c r="V390" s="140">
        <v>40</v>
      </c>
      <c r="W390" s="151">
        <f t="shared" si="89"/>
        <v>1400</v>
      </c>
      <c r="X390" s="142">
        <v>0</v>
      </c>
      <c r="Y390" s="151">
        <f t="shared" si="90"/>
        <v>0</v>
      </c>
      <c r="Z390" s="146"/>
      <c r="AA390" s="155">
        <f t="shared" si="91"/>
        <v>40</v>
      </c>
      <c r="AB390" s="155">
        <f t="shared" si="86"/>
        <v>0</v>
      </c>
      <c r="AC390" s="149">
        <f t="shared" si="96"/>
        <v>10</v>
      </c>
      <c r="AD390" s="156">
        <f>Q390/4</f>
        <v>350</v>
      </c>
      <c r="AG390" s="149">
        <v>60</v>
      </c>
      <c r="AH390" s="149">
        <v>2100</v>
      </c>
      <c r="AJ390" s="206">
        <f t="shared" si="82"/>
        <v>72</v>
      </c>
      <c r="AL390" s="149">
        <f>AK390/H390</f>
        <v>0</v>
      </c>
    </row>
    <row r="391" spans="1:38" ht="15">
      <c r="A391" s="140">
        <v>10949</v>
      </c>
      <c r="B391" s="140">
        <v>367</v>
      </c>
      <c r="C391" s="215" t="s">
        <v>1124</v>
      </c>
      <c r="D391" s="216" t="s">
        <v>1337</v>
      </c>
      <c r="E391" s="191" t="s">
        <v>1275</v>
      </c>
      <c r="F391" s="153">
        <v>1</v>
      </c>
      <c r="G391" s="154" t="s">
        <v>1271</v>
      </c>
      <c r="H391" s="140">
        <v>20</v>
      </c>
      <c r="I391" s="140" t="s">
        <v>406</v>
      </c>
      <c r="J391" s="140">
        <v>70</v>
      </c>
      <c r="K391" s="142">
        <v>120</v>
      </c>
      <c r="L391" s="142">
        <v>74.4</v>
      </c>
      <c r="M391" s="143">
        <v>100</v>
      </c>
      <c r="N391" s="144">
        <v>0</v>
      </c>
      <c r="O391" s="143">
        <f t="shared" si="83"/>
        <v>100</v>
      </c>
      <c r="P391" s="140">
        <v>60</v>
      </c>
      <c r="Q391" s="159">
        <f t="shared" si="84"/>
        <v>6000</v>
      </c>
      <c r="R391" s="140">
        <v>50</v>
      </c>
      <c r="S391" s="151">
        <f t="shared" si="87"/>
        <v>3000</v>
      </c>
      <c r="T391" s="140">
        <v>0</v>
      </c>
      <c r="U391" s="151">
        <f t="shared" si="88"/>
        <v>0</v>
      </c>
      <c r="V391" s="140">
        <v>50</v>
      </c>
      <c r="W391" s="151">
        <f t="shared" si="89"/>
        <v>3000</v>
      </c>
      <c r="X391" s="140"/>
      <c r="Y391" s="151">
        <f t="shared" si="90"/>
        <v>0</v>
      </c>
      <c r="Z391" s="146"/>
      <c r="AA391" s="155">
        <f t="shared" si="91"/>
        <v>100</v>
      </c>
      <c r="AB391" s="155">
        <f t="shared" si="86"/>
        <v>0</v>
      </c>
      <c r="AC391" s="149">
        <f t="shared" si="96"/>
        <v>25</v>
      </c>
      <c r="AD391" s="156">
        <f>Q391/4</f>
        <v>1500</v>
      </c>
      <c r="AG391" s="149">
        <v>62</v>
      </c>
      <c r="AH391" s="149">
        <v>3220</v>
      </c>
      <c r="AI391" s="150" t="s">
        <v>1352</v>
      </c>
      <c r="AJ391" s="206">
        <f t="shared" si="82"/>
        <v>74.4</v>
      </c>
      <c r="AL391" s="149">
        <f>AK391/H391</f>
        <v>0</v>
      </c>
    </row>
    <row r="392" spans="1:36" ht="15">
      <c r="A392" s="140">
        <v>10949</v>
      </c>
      <c r="B392" s="140">
        <v>368</v>
      </c>
      <c r="C392" s="146"/>
      <c r="D392" s="147"/>
      <c r="E392" s="191" t="s">
        <v>1418</v>
      </c>
      <c r="F392" s="153">
        <v>2</v>
      </c>
      <c r="G392" s="154" t="s">
        <v>1271</v>
      </c>
      <c r="H392" s="140">
        <v>1</v>
      </c>
      <c r="I392" s="140" t="s">
        <v>1235</v>
      </c>
      <c r="J392" s="140">
        <v>0</v>
      </c>
      <c r="K392" s="140">
        <v>0</v>
      </c>
      <c r="L392" s="142">
        <v>0</v>
      </c>
      <c r="M392" s="143">
        <v>0</v>
      </c>
      <c r="N392" s="140">
        <v>0</v>
      </c>
      <c r="O392" s="143">
        <f t="shared" si="83"/>
        <v>0</v>
      </c>
      <c r="P392" s="140">
        <v>30</v>
      </c>
      <c r="Q392" s="159">
        <f t="shared" si="84"/>
        <v>0</v>
      </c>
      <c r="R392" s="140">
        <v>0</v>
      </c>
      <c r="S392" s="140">
        <f t="shared" si="87"/>
        <v>0</v>
      </c>
      <c r="T392" s="140">
        <v>0</v>
      </c>
      <c r="U392" s="140">
        <f t="shared" si="88"/>
        <v>0</v>
      </c>
      <c r="V392" s="140">
        <v>0</v>
      </c>
      <c r="W392" s="140">
        <f t="shared" si="89"/>
        <v>0</v>
      </c>
      <c r="X392" s="140">
        <v>0</v>
      </c>
      <c r="Y392" s="140">
        <f t="shared" si="90"/>
        <v>0</v>
      </c>
      <c r="Z392" s="146"/>
      <c r="AA392" s="155">
        <f t="shared" si="91"/>
        <v>0</v>
      </c>
      <c r="AB392" s="155">
        <f t="shared" si="86"/>
        <v>0</v>
      </c>
      <c r="AC392" s="149">
        <f t="shared" si="96"/>
        <v>0</v>
      </c>
      <c r="AJ392" s="206">
        <f t="shared" si="82"/>
        <v>0</v>
      </c>
    </row>
    <row r="393" spans="1:36" ht="15">
      <c r="A393" s="140">
        <v>10949</v>
      </c>
      <c r="B393" s="140">
        <v>369</v>
      </c>
      <c r="C393" s="146"/>
      <c r="D393" s="147"/>
      <c r="E393" s="191" t="s">
        <v>1419</v>
      </c>
      <c r="F393" s="153">
        <v>2</v>
      </c>
      <c r="G393" s="154" t="s">
        <v>1271</v>
      </c>
      <c r="H393" s="140">
        <v>1</v>
      </c>
      <c r="I393" s="140" t="s">
        <v>1235</v>
      </c>
      <c r="J393" s="140">
        <v>0</v>
      </c>
      <c r="K393" s="140">
        <v>0</v>
      </c>
      <c r="L393" s="142">
        <v>0</v>
      </c>
      <c r="M393" s="143">
        <v>0</v>
      </c>
      <c r="N393" s="140">
        <v>0</v>
      </c>
      <c r="O393" s="143">
        <f t="shared" si="83"/>
        <v>0</v>
      </c>
      <c r="P393" s="140">
        <v>30</v>
      </c>
      <c r="Q393" s="159">
        <f t="shared" si="84"/>
        <v>0</v>
      </c>
      <c r="R393" s="140">
        <v>0</v>
      </c>
      <c r="S393" s="140">
        <f t="shared" si="87"/>
        <v>0</v>
      </c>
      <c r="T393" s="140">
        <v>0</v>
      </c>
      <c r="U393" s="140">
        <f t="shared" si="88"/>
        <v>0</v>
      </c>
      <c r="V393" s="140">
        <v>0</v>
      </c>
      <c r="W393" s="140">
        <f t="shared" si="89"/>
        <v>0</v>
      </c>
      <c r="X393" s="140">
        <v>0</v>
      </c>
      <c r="Y393" s="140">
        <f t="shared" si="90"/>
        <v>0</v>
      </c>
      <c r="Z393" s="146"/>
      <c r="AA393" s="155">
        <f t="shared" si="91"/>
        <v>0</v>
      </c>
      <c r="AB393" s="155">
        <f t="shared" si="86"/>
        <v>0</v>
      </c>
      <c r="AC393" s="149">
        <f t="shared" si="96"/>
        <v>0</v>
      </c>
      <c r="AJ393" s="206">
        <f t="shared" si="82"/>
        <v>0</v>
      </c>
    </row>
    <row r="394" spans="1:38" ht="15">
      <c r="A394" s="140">
        <v>10949</v>
      </c>
      <c r="B394" s="140">
        <v>370</v>
      </c>
      <c r="C394" s="146"/>
      <c r="D394" s="147"/>
      <c r="E394" s="152" t="s">
        <v>571</v>
      </c>
      <c r="F394" s="153">
        <v>2</v>
      </c>
      <c r="G394" s="146" t="s">
        <v>571</v>
      </c>
      <c r="H394" s="140">
        <v>1</v>
      </c>
      <c r="I394" s="140" t="s">
        <v>552</v>
      </c>
      <c r="J394" s="140">
        <v>235</v>
      </c>
      <c r="K394" s="142">
        <v>204</v>
      </c>
      <c r="L394" s="142">
        <v>159.60000000000002</v>
      </c>
      <c r="M394" s="143">
        <v>200</v>
      </c>
      <c r="N394" s="140">
        <v>0</v>
      </c>
      <c r="O394" s="143">
        <f t="shared" si="83"/>
        <v>200</v>
      </c>
      <c r="P394" s="140">
        <v>90</v>
      </c>
      <c r="Q394" s="159">
        <f t="shared" si="84"/>
        <v>18000</v>
      </c>
      <c r="R394" s="140">
        <v>50</v>
      </c>
      <c r="S394" s="151">
        <f t="shared" si="87"/>
        <v>4500</v>
      </c>
      <c r="T394" s="140">
        <v>50</v>
      </c>
      <c r="U394" s="151">
        <f t="shared" si="88"/>
        <v>4500</v>
      </c>
      <c r="V394" s="140">
        <v>50</v>
      </c>
      <c r="W394" s="151">
        <f t="shared" si="89"/>
        <v>4500</v>
      </c>
      <c r="X394" s="140">
        <v>50</v>
      </c>
      <c r="Y394" s="151">
        <f t="shared" si="90"/>
        <v>4500</v>
      </c>
      <c r="Z394" s="146"/>
      <c r="AA394" s="155">
        <f t="shared" si="91"/>
        <v>200</v>
      </c>
      <c r="AB394" s="155">
        <f t="shared" si="86"/>
        <v>0</v>
      </c>
      <c r="AC394" s="149">
        <f t="shared" si="96"/>
        <v>50</v>
      </c>
      <c r="AD394" s="156">
        <f aca="true" t="shared" si="97" ref="AD394:AD404">Q394/4</f>
        <v>4500</v>
      </c>
      <c r="AG394" s="149">
        <v>133</v>
      </c>
      <c r="AH394" s="149">
        <v>11970</v>
      </c>
      <c r="AI394" s="150" t="s">
        <v>1354</v>
      </c>
      <c r="AJ394" s="206">
        <f t="shared" si="82"/>
        <v>159.60000000000002</v>
      </c>
      <c r="AL394" s="149">
        <f>AK394/H394</f>
        <v>0</v>
      </c>
    </row>
    <row r="395" spans="1:36" ht="15">
      <c r="A395" s="140">
        <v>10949</v>
      </c>
      <c r="B395" s="140">
        <v>371</v>
      </c>
      <c r="C395" s="146" t="s">
        <v>1128</v>
      </c>
      <c r="D395" s="147" t="s">
        <v>1127</v>
      </c>
      <c r="E395" s="152" t="s">
        <v>1530</v>
      </c>
      <c r="F395" s="153">
        <v>2</v>
      </c>
      <c r="G395" s="224" t="s">
        <v>1320</v>
      </c>
      <c r="H395" s="140">
        <v>1</v>
      </c>
      <c r="I395" s="140" t="s">
        <v>554</v>
      </c>
      <c r="J395" s="140">
        <v>0</v>
      </c>
      <c r="K395" s="142">
        <v>0</v>
      </c>
      <c r="L395" s="142">
        <v>0</v>
      </c>
      <c r="M395" s="143">
        <v>30</v>
      </c>
      <c r="N395" s="140">
        <v>0</v>
      </c>
      <c r="O395" s="143">
        <f t="shared" si="83"/>
        <v>30</v>
      </c>
      <c r="P395" s="140">
        <v>80</v>
      </c>
      <c r="Q395" s="159">
        <f t="shared" si="84"/>
        <v>2400</v>
      </c>
      <c r="R395" s="140">
        <v>10</v>
      </c>
      <c r="S395" s="151">
        <f t="shared" si="87"/>
        <v>800</v>
      </c>
      <c r="T395" s="140">
        <v>10</v>
      </c>
      <c r="U395" s="151">
        <f t="shared" si="88"/>
        <v>800</v>
      </c>
      <c r="V395" s="140">
        <v>10</v>
      </c>
      <c r="W395" s="151">
        <f t="shared" si="89"/>
        <v>800</v>
      </c>
      <c r="X395" s="140">
        <v>0</v>
      </c>
      <c r="Y395" s="151">
        <f t="shared" si="90"/>
        <v>0</v>
      </c>
      <c r="Z395" s="146"/>
      <c r="AA395" s="155">
        <f t="shared" si="91"/>
        <v>30</v>
      </c>
      <c r="AB395" s="155">
        <f t="shared" si="86"/>
        <v>0</v>
      </c>
      <c r="AC395" s="149">
        <f t="shared" si="96"/>
        <v>7.5</v>
      </c>
      <c r="AD395" s="156">
        <f t="shared" si="97"/>
        <v>600</v>
      </c>
      <c r="AJ395" s="206">
        <f t="shared" si="82"/>
        <v>0</v>
      </c>
    </row>
    <row r="396" spans="1:38" ht="15">
      <c r="A396" s="140">
        <v>10949</v>
      </c>
      <c r="B396" s="140">
        <v>372</v>
      </c>
      <c r="C396" s="146" t="s">
        <v>1126</v>
      </c>
      <c r="D396" s="147" t="s">
        <v>1125</v>
      </c>
      <c r="E396" s="152" t="s">
        <v>572</v>
      </c>
      <c r="F396" s="153">
        <v>1</v>
      </c>
      <c r="G396" s="146" t="s">
        <v>1252</v>
      </c>
      <c r="H396" s="140">
        <v>100</v>
      </c>
      <c r="I396" s="140" t="s">
        <v>1253</v>
      </c>
      <c r="J396" s="140">
        <v>92.5</v>
      </c>
      <c r="K396" s="142">
        <v>158</v>
      </c>
      <c r="L396" s="142">
        <v>184.8</v>
      </c>
      <c r="M396" s="143">
        <v>152</v>
      </c>
      <c r="N396" s="144">
        <v>52</v>
      </c>
      <c r="O396" s="143">
        <f t="shared" si="83"/>
        <v>100</v>
      </c>
      <c r="P396" s="163">
        <v>85</v>
      </c>
      <c r="Q396" s="159">
        <f t="shared" si="84"/>
        <v>8500</v>
      </c>
      <c r="R396" s="140">
        <v>0</v>
      </c>
      <c r="S396" s="151">
        <f t="shared" si="87"/>
        <v>0</v>
      </c>
      <c r="T396" s="142">
        <v>50</v>
      </c>
      <c r="U396" s="151">
        <f t="shared" si="88"/>
        <v>4250</v>
      </c>
      <c r="V396" s="140">
        <v>0</v>
      </c>
      <c r="W396" s="151">
        <f t="shared" si="89"/>
        <v>0</v>
      </c>
      <c r="X396" s="142">
        <v>50</v>
      </c>
      <c r="Y396" s="151">
        <f t="shared" si="90"/>
        <v>4250</v>
      </c>
      <c r="Z396" s="146"/>
      <c r="AA396" s="155">
        <f t="shared" si="91"/>
        <v>100</v>
      </c>
      <c r="AB396" s="155">
        <f t="shared" si="86"/>
        <v>0</v>
      </c>
      <c r="AC396" s="149">
        <f t="shared" si="96"/>
        <v>25</v>
      </c>
      <c r="AD396" s="156">
        <f t="shared" si="97"/>
        <v>2125</v>
      </c>
      <c r="AG396" s="149">
        <v>154</v>
      </c>
      <c r="AH396" s="149">
        <v>13090</v>
      </c>
      <c r="AI396" s="150" t="s">
        <v>1356</v>
      </c>
      <c r="AJ396" s="206">
        <f t="shared" si="82"/>
        <v>184.8</v>
      </c>
      <c r="AL396" s="149">
        <f>AK396/H396</f>
        <v>0</v>
      </c>
    </row>
    <row r="397" spans="1:38" ht="15">
      <c r="A397" s="130" t="s">
        <v>1199</v>
      </c>
      <c r="B397" s="130" t="s">
        <v>2</v>
      </c>
      <c r="C397" s="130" t="s">
        <v>1200</v>
      </c>
      <c r="D397" s="198" t="s">
        <v>1201</v>
      </c>
      <c r="E397" s="134" t="s">
        <v>1285</v>
      </c>
      <c r="F397" s="134" t="s">
        <v>1295</v>
      </c>
      <c r="G397" s="134" t="s">
        <v>1202</v>
      </c>
      <c r="H397" s="130" t="s">
        <v>1579</v>
      </c>
      <c r="I397" s="130" t="s">
        <v>1203</v>
      </c>
      <c r="J397" s="199"/>
      <c r="K397" s="131" t="s">
        <v>1205</v>
      </c>
      <c r="L397" s="132"/>
      <c r="M397" s="133" t="s">
        <v>0</v>
      </c>
      <c r="N397" s="134" t="s">
        <v>1214</v>
      </c>
      <c r="O397" s="133" t="s">
        <v>0</v>
      </c>
      <c r="P397" s="130" t="s">
        <v>1390</v>
      </c>
      <c r="Q397" s="200" t="s">
        <v>1206</v>
      </c>
      <c r="R397" s="201" t="s">
        <v>1289</v>
      </c>
      <c r="S397" s="132"/>
      <c r="T397" s="201" t="s">
        <v>1290</v>
      </c>
      <c r="U397" s="202"/>
      <c r="V397" s="201" t="s">
        <v>1291</v>
      </c>
      <c r="W397" s="132"/>
      <c r="X397" s="201" t="s">
        <v>1292</v>
      </c>
      <c r="Y397" s="202"/>
      <c r="Z397" s="203" t="s">
        <v>608</v>
      </c>
      <c r="AA397" s="204"/>
      <c r="AB397" s="204"/>
      <c r="AC397" s="149" t="s">
        <v>1318</v>
      </c>
      <c r="AD397" s="149" t="s">
        <v>1389</v>
      </c>
      <c r="AE397" s="205" t="s">
        <v>3</v>
      </c>
      <c r="AF397" s="205" t="s">
        <v>1349</v>
      </c>
      <c r="AG397" s="149" t="s">
        <v>1297</v>
      </c>
      <c r="AH397" s="149" t="s">
        <v>6</v>
      </c>
      <c r="AI397" s="150" t="s">
        <v>1307</v>
      </c>
      <c r="AJ397" s="206" t="s">
        <v>1303</v>
      </c>
      <c r="AK397" s="149" t="s">
        <v>4</v>
      </c>
      <c r="AL397" s="149" t="s">
        <v>1304</v>
      </c>
    </row>
    <row r="398" spans="1:35" ht="15">
      <c r="A398" s="135"/>
      <c r="B398" s="139"/>
      <c r="C398" s="207"/>
      <c r="D398" s="208"/>
      <c r="E398" s="136"/>
      <c r="F398" s="136" t="s">
        <v>1294</v>
      </c>
      <c r="G398" s="136"/>
      <c r="H398" s="139" t="s">
        <v>1204</v>
      </c>
      <c r="I398" s="136" t="s">
        <v>1204</v>
      </c>
      <c r="J398" s="136">
        <v>2562</v>
      </c>
      <c r="K398" s="136">
        <v>2563</v>
      </c>
      <c r="L398" s="137">
        <v>2564</v>
      </c>
      <c r="M398" s="138" t="s">
        <v>1537</v>
      </c>
      <c r="N398" s="136" t="s">
        <v>4</v>
      </c>
      <c r="O398" s="138" t="s">
        <v>1538</v>
      </c>
      <c r="P398" s="139" t="s">
        <v>1286</v>
      </c>
      <c r="Q398" s="209" t="s">
        <v>1391</v>
      </c>
      <c r="R398" s="210" t="s">
        <v>5</v>
      </c>
      <c r="S398" s="139" t="s">
        <v>1208</v>
      </c>
      <c r="T398" s="139" t="s">
        <v>5</v>
      </c>
      <c r="U398" s="211" t="s">
        <v>1208</v>
      </c>
      <c r="V398" s="210" t="s">
        <v>5</v>
      </c>
      <c r="W398" s="139" t="s">
        <v>1208</v>
      </c>
      <c r="X398" s="139" t="s">
        <v>5</v>
      </c>
      <c r="Y398" s="211" t="s">
        <v>1208</v>
      </c>
      <c r="Z398" s="207"/>
      <c r="AA398" s="197"/>
      <c r="AB398" s="197"/>
      <c r="AG398" s="149" t="s">
        <v>1494</v>
      </c>
      <c r="AH398" s="149" t="s">
        <v>1207</v>
      </c>
      <c r="AI398" s="150" t="s">
        <v>1308</v>
      </c>
    </row>
    <row r="399" spans="1:36" ht="15">
      <c r="A399" s="140">
        <v>10949</v>
      </c>
      <c r="B399" s="140">
        <v>373</v>
      </c>
      <c r="C399" s="146" t="s">
        <v>1130</v>
      </c>
      <c r="D399" s="147" t="s">
        <v>1129</v>
      </c>
      <c r="E399" s="152" t="s">
        <v>1365</v>
      </c>
      <c r="F399" s="140">
        <v>1</v>
      </c>
      <c r="G399" s="146" t="s">
        <v>1257</v>
      </c>
      <c r="H399" s="140">
        <v>1</v>
      </c>
      <c r="I399" s="140" t="s">
        <v>388</v>
      </c>
      <c r="J399" s="140">
        <v>235</v>
      </c>
      <c r="K399" s="142">
        <v>135</v>
      </c>
      <c r="L399" s="142">
        <v>0</v>
      </c>
      <c r="M399" s="143">
        <v>0</v>
      </c>
      <c r="N399" s="140">
        <v>0</v>
      </c>
      <c r="O399" s="143">
        <f t="shared" si="83"/>
        <v>0</v>
      </c>
      <c r="P399" s="140">
        <v>35</v>
      </c>
      <c r="Q399" s="159">
        <f t="shared" si="84"/>
        <v>0</v>
      </c>
      <c r="R399" s="140">
        <v>0</v>
      </c>
      <c r="S399" s="151">
        <f t="shared" si="87"/>
        <v>0</v>
      </c>
      <c r="T399" s="140">
        <v>0</v>
      </c>
      <c r="U399" s="151">
        <f t="shared" si="88"/>
        <v>0</v>
      </c>
      <c r="V399" s="140">
        <v>0</v>
      </c>
      <c r="W399" s="151">
        <f t="shared" si="89"/>
        <v>0</v>
      </c>
      <c r="X399" s="140">
        <v>0</v>
      </c>
      <c r="Y399" s="151">
        <f t="shared" si="90"/>
        <v>0</v>
      </c>
      <c r="Z399" s="146"/>
      <c r="AA399" s="155">
        <f t="shared" si="91"/>
        <v>0</v>
      </c>
      <c r="AB399" s="155">
        <f t="shared" si="86"/>
        <v>0</v>
      </c>
      <c r="AC399" s="149">
        <f t="shared" si="96"/>
        <v>0</v>
      </c>
      <c r="AD399" s="156">
        <f t="shared" si="97"/>
        <v>0</v>
      </c>
      <c r="AI399" s="150" t="s">
        <v>1352</v>
      </c>
      <c r="AJ399" s="206">
        <f t="shared" si="82"/>
        <v>0</v>
      </c>
    </row>
    <row r="400" spans="1:38" ht="15">
      <c r="A400" s="140">
        <v>10949</v>
      </c>
      <c r="B400" s="140">
        <v>374</v>
      </c>
      <c r="C400" s="146"/>
      <c r="D400" s="147"/>
      <c r="E400" s="191" t="s">
        <v>461</v>
      </c>
      <c r="F400" s="153">
        <v>1</v>
      </c>
      <c r="G400" s="154" t="s">
        <v>1257</v>
      </c>
      <c r="H400" s="153">
        <v>1</v>
      </c>
      <c r="I400" s="153" t="s">
        <v>380</v>
      </c>
      <c r="J400" s="140">
        <v>1100</v>
      </c>
      <c r="K400" s="142">
        <v>987</v>
      </c>
      <c r="L400" s="142">
        <v>1342.8000000000002</v>
      </c>
      <c r="M400" s="143">
        <v>1400</v>
      </c>
      <c r="N400" s="144">
        <v>200</v>
      </c>
      <c r="O400" s="143">
        <f t="shared" si="83"/>
        <v>1200</v>
      </c>
      <c r="P400" s="160">
        <v>35</v>
      </c>
      <c r="Q400" s="159">
        <f t="shared" si="84"/>
        <v>42000</v>
      </c>
      <c r="R400" s="140">
        <v>300</v>
      </c>
      <c r="S400" s="151">
        <f t="shared" si="87"/>
        <v>10500</v>
      </c>
      <c r="T400" s="142">
        <v>300</v>
      </c>
      <c r="U400" s="151">
        <f t="shared" si="88"/>
        <v>10500</v>
      </c>
      <c r="V400" s="140">
        <v>300</v>
      </c>
      <c r="W400" s="151">
        <f t="shared" si="89"/>
        <v>10500</v>
      </c>
      <c r="X400" s="142">
        <v>300</v>
      </c>
      <c r="Y400" s="151">
        <f t="shared" si="90"/>
        <v>10500</v>
      </c>
      <c r="Z400" s="146"/>
      <c r="AA400" s="155">
        <f t="shared" si="91"/>
        <v>1200</v>
      </c>
      <c r="AB400" s="155">
        <f t="shared" si="86"/>
        <v>0</v>
      </c>
      <c r="AC400" s="149">
        <f t="shared" si="96"/>
        <v>300</v>
      </c>
      <c r="AD400" s="156">
        <f t="shared" si="97"/>
        <v>10500</v>
      </c>
      <c r="AG400" s="149">
        <v>1119</v>
      </c>
      <c r="AH400" s="149">
        <v>49165</v>
      </c>
      <c r="AI400" s="150" t="s">
        <v>1356</v>
      </c>
      <c r="AJ400" s="206">
        <f t="shared" si="82"/>
        <v>1342.8000000000002</v>
      </c>
      <c r="AL400" s="149">
        <f>AK400/H400</f>
        <v>0</v>
      </c>
    </row>
    <row r="401" spans="1:38" ht="15">
      <c r="A401" s="140">
        <v>10949</v>
      </c>
      <c r="B401" s="140">
        <v>375</v>
      </c>
      <c r="C401" s="146" t="s">
        <v>1132</v>
      </c>
      <c r="D401" s="147" t="s">
        <v>1131</v>
      </c>
      <c r="E401" s="191" t="s">
        <v>226</v>
      </c>
      <c r="F401" s="153">
        <v>2</v>
      </c>
      <c r="G401" s="154" t="s">
        <v>1252</v>
      </c>
      <c r="H401" s="140">
        <v>50</v>
      </c>
      <c r="I401" s="140" t="s">
        <v>1253</v>
      </c>
      <c r="J401" s="140">
        <v>29</v>
      </c>
      <c r="K401" s="142">
        <v>35</v>
      </c>
      <c r="L401" s="142">
        <v>42</v>
      </c>
      <c r="M401" s="143">
        <v>50</v>
      </c>
      <c r="N401" s="144">
        <v>20</v>
      </c>
      <c r="O401" s="143">
        <f t="shared" si="83"/>
        <v>30</v>
      </c>
      <c r="P401" s="160">
        <v>100</v>
      </c>
      <c r="Q401" s="159">
        <f t="shared" si="84"/>
        <v>3000</v>
      </c>
      <c r="R401" s="225">
        <v>0</v>
      </c>
      <c r="S401" s="151">
        <f t="shared" si="87"/>
        <v>0</v>
      </c>
      <c r="T401" s="142">
        <v>0</v>
      </c>
      <c r="U401" s="151">
        <f t="shared" si="88"/>
        <v>0</v>
      </c>
      <c r="V401" s="140">
        <v>30</v>
      </c>
      <c r="W401" s="151">
        <f t="shared" si="89"/>
        <v>3000</v>
      </c>
      <c r="X401" s="142">
        <v>0</v>
      </c>
      <c r="Y401" s="151">
        <f t="shared" si="90"/>
        <v>0</v>
      </c>
      <c r="Z401" s="146"/>
      <c r="AA401" s="155">
        <f t="shared" si="91"/>
        <v>30</v>
      </c>
      <c r="AB401" s="155">
        <f t="shared" si="86"/>
        <v>0</v>
      </c>
      <c r="AC401" s="149">
        <f t="shared" si="96"/>
        <v>7.5</v>
      </c>
      <c r="AD401" s="156">
        <f t="shared" si="97"/>
        <v>750</v>
      </c>
      <c r="AG401" s="149">
        <v>35</v>
      </c>
      <c r="AH401" s="149">
        <v>1900</v>
      </c>
      <c r="AI401" s="150" t="s">
        <v>1354</v>
      </c>
      <c r="AJ401" s="206">
        <f t="shared" si="82"/>
        <v>42</v>
      </c>
      <c r="AL401" s="149">
        <f>AK401/H401</f>
        <v>0</v>
      </c>
    </row>
    <row r="402" spans="1:36" ht="15">
      <c r="A402" s="140">
        <v>10949</v>
      </c>
      <c r="B402" s="140">
        <v>376</v>
      </c>
      <c r="C402" s="146" t="s">
        <v>1134</v>
      </c>
      <c r="D402" s="147" t="s">
        <v>1133</v>
      </c>
      <c r="E402" s="152" t="s">
        <v>1529</v>
      </c>
      <c r="F402" s="153">
        <v>2</v>
      </c>
      <c r="G402" s="224" t="s">
        <v>1320</v>
      </c>
      <c r="H402" s="140">
        <v>1</v>
      </c>
      <c r="I402" s="140" t="s">
        <v>554</v>
      </c>
      <c r="J402" s="140">
        <v>0</v>
      </c>
      <c r="K402" s="142">
        <v>0</v>
      </c>
      <c r="L402" s="142">
        <v>0</v>
      </c>
      <c r="M402" s="143">
        <v>30</v>
      </c>
      <c r="N402" s="144">
        <v>0</v>
      </c>
      <c r="O402" s="143">
        <f t="shared" si="83"/>
        <v>30</v>
      </c>
      <c r="P402" s="160">
        <v>70</v>
      </c>
      <c r="Q402" s="159">
        <f t="shared" si="84"/>
        <v>2100</v>
      </c>
      <c r="R402" s="140">
        <v>10</v>
      </c>
      <c r="S402" s="151">
        <f t="shared" si="87"/>
        <v>700</v>
      </c>
      <c r="T402" s="140">
        <v>10</v>
      </c>
      <c r="U402" s="151">
        <f t="shared" si="88"/>
        <v>700</v>
      </c>
      <c r="V402" s="140">
        <v>10</v>
      </c>
      <c r="W402" s="151">
        <f t="shared" si="89"/>
        <v>700</v>
      </c>
      <c r="X402" s="140">
        <v>0</v>
      </c>
      <c r="Y402" s="151">
        <f t="shared" si="90"/>
        <v>0</v>
      </c>
      <c r="Z402" s="146"/>
      <c r="AA402" s="155">
        <f t="shared" si="91"/>
        <v>30</v>
      </c>
      <c r="AB402" s="155">
        <f t="shared" si="86"/>
        <v>0</v>
      </c>
      <c r="AC402" s="149">
        <f t="shared" si="96"/>
        <v>7.5</v>
      </c>
      <c r="AD402" s="156">
        <f t="shared" si="97"/>
        <v>525</v>
      </c>
      <c r="AJ402" s="206">
        <f t="shared" si="82"/>
        <v>0</v>
      </c>
    </row>
    <row r="403" spans="1:36" ht="15">
      <c r="A403" s="140">
        <v>10949</v>
      </c>
      <c r="B403" s="140">
        <v>377</v>
      </c>
      <c r="C403" s="146"/>
      <c r="D403" s="147"/>
      <c r="E403" s="152" t="s">
        <v>1531</v>
      </c>
      <c r="F403" s="153">
        <v>2</v>
      </c>
      <c r="G403" s="224" t="s">
        <v>1320</v>
      </c>
      <c r="H403" s="140">
        <v>1</v>
      </c>
      <c r="I403" s="140" t="s">
        <v>554</v>
      </c>
      <c r="J403" s="140">
        <v>0</v>
      </c>
      <c r="K403" s="142">
        <v>0</v>
      </c>
      <c r="L403" s="142">
        <v>0</v>
      </c>
      <c r="M403" s="143">
        <v>0</v>
      </c>
      <c r="N403" s="144">
        <v>0</v>
      </c>
      <c r="O403" s="143">
        <f t="shared" si="83"/>
        <v>0</v>
      </c>
      <c r="P403" s="160">
        <v>50</v>
      </c>
      <c r="Q403" s="159">
        <f t="shared" si="84"/>
        <v>0</v>
      </c>
      <c r="R403" s="140">
        <v>0</v>
      </c>
      <c r="S403" s="151">
        <f t="shared" si="87"/>
        <v>0</v>
      </c>
      <c r="T403" s="140">
        <v>0</v>
      </c>
      <c r="U403" s="151">
        <f t="shared" si="88"/>
        <v>0</v>
      </c>
      <c r="V403" s="140">
        <v>0</v>
      </c>
      <c r="W403" s="151">
        <f t="shared" si="89"/>
        <v>0</v>
      </c>
      <c r="X403" s="140">
        <v>0</v>
      </c>
      <c r="Y403" s="151">
        <f t="shared" si="90"/>
        <v>0</v>
      </c>
      <c r="Z403" s="146"/>
      <c r="AA403" s="155">
        <f>R403+T403+V403+X403</f>
        <v>0</v>
      </c>
      <c r="AB403" s="155">
        <f>O403-AA403</f>
        <v>0</v>
      </c>
      <c r="AC403" s="149">
        <f>O403/4</f>
        <v>0</v>
      </c>
      <c r="AD403" s="156">
        <f t="shared" si="97"/>
        <v>0</v>
      </c>
      <c r="AJ403" s="206">
        <f aca="true" t="shared" si="98" ref="AJ403:AJ439">AG403/10*12</f>
        <v>0</v>
      </c>
    </row>
    <row r="404" spans="1:36" ht="15">
      <c r="A404" s="140">
        <v>10949</v>
      </c>
      <c r="B404" s="140">
        <v>378</v>
      </c>
      <c r="C404" s="146" t="s">
        <v>1136</v>
      </c>
      <c r="D404" s="147" t="s">
        <v>1135</v>
      </c>
      <c r="E404" s="152" t="s">
        <v>1317</v>
      </c>
      <c r="F404" s="153">
        <v>2</v>
      </c>
      <c r="G404" s="224" t="s">
        <v>1320</v>
      </c>
      <c r="H404" s="140">
        <v>1</v>
      </c>
      <c r="I404" s="140" t="s">
        <v>554</v>
      </c>
      <c r="J404" s="140">
        <v>0</v>
      </c>
      <c r="K404" s="142">
        <v>0</v>
      </c>
      <c r="L404" s="142">
        <v>0</v>
      </c>
      <c r="M404" s="143">
        <v>30</v>
      </c>
      <c r="N404" s="140">
        <v>0</v>
      </c>
      <c r="O404" s="143">
        <f t="shared" si="83"/>
        <v>30</v>
      </c>
      <c r="P404" s="140">
        <v>70</v>
      </c>
      <c r="Q404" s="159">
        <f t="shared" si="84"/>
        <v>2100</v>
      </c>
      <c r="R404" s="140">
        <v>10</v>
      </c>
      <c r="S404" s="151">
        <f t="shared" si="87"/>
        <v>700</v>
      </c>
      <c r="T404" s="140">
        <v>10</v>
      </c>
      <c r="U404" s="151">
        <f t="shared" si="88"/>
        <v>700</v>
      </c>
      <c r="V404" s="140">
        <v>10</v>
      </c>
      <c r="W404" s="151">
        <f t="shared" si="89"/>
        <v>700</v>
      </c>
      <c r="X404" s="140">
        <v>0</v>
      </c>
      <c r="Y404" s="151">
        <f t="shared" si="90"/>
        <v>0</v>
      </c>
      <c r="Z404" s="146"/>
      <c r="AA404" s="155">
        <f>R404+T404+V404+X404</f>
        <v>30</v>
      </c>
      <c r="AB404" s="155">
        <f>O404-AA404</f>
        <v>0</v>
      </c>
      <c r="AC404" s="149">
        <f>O404/4</f>
        <v>7.5</v>
      </c>
      <c r="AD404" s="156">
        <f t="shared" si="97"/>
        <v>525</v>
      </c>
      <c r="AJ404" s="206">
        <f t="shared" si="98"/>
        <v>0</v>
      </c>
    </row>
    <row r="405" spans="1:36" ht="15">
      <c r="A405" s="140">
        <v>10949</v>
      </c>
      <c r="B405" s="140">
        <v>379</v>
      </c>
      <c r="C405" s="146" t="s">
        <v>1138</v>
      </c>
      <c r="D405" s="147" t="s">
        <v>1137</v>
      </c>
      <c r="E405" s="191" t="s">
        <v>1437</v>
      </c>
      <c r="F405" s="153">
        <v>1</v>
      </c>
      <c r="G405" s="146" t="s">
        <v>1252</v>
      </c>
      <c r="H405" s="140">
        <v>100</v>
      </c>
      <c r="I405" s="140" t="s">
        <v>1253</v>
      </c>
      <c r="J405" s="140">
        <v>0</v>
      </c>
      <c r="K405" s="140">
        <v>0</v>
      </c>
      <c r="L405" s="142">
        <v>0</v>
      </c>
      <c r="M405" s="143">
        <v>0</v>
      </c>
      <c r="N405" s="140">
        <v>0</v>
      </c>
      <c r="O405" s="143">
        <f t="shared" si="83"/>
        <v>0</v>
      </c>
      <c r="P405" s="140">
        <v>100</v>
      </c>
      <c r="Q405" s="159">
        <f aca="true" t="shared" si="99" ref="Q405:Q438">P405*O405</f>
        <v>0</v>
      </c>
      <c r="R405" s="140">
        <v>0</v>
      </c>
      <c r="S405" s="140">
        <f t="shared" si="87"/>
        <v>0</v>
      </c>
      <c r="T405" s="140">
        <v>0</v>
      </c>
      <c r="U405" s="140">
        <f t="shared" si="88"/>
        <v>0</v>
      </c>
      <c r="V405" s="140">
        <v>0</v>
      </c>
      <c r="W405" s="140">
        <f t="shared" si="89"/>
        <v>0</v>
      </c>
      <c r="X405" s="140">
        <v>0</v>
      </c>
      <c r="Y405" s="140">
        <f t="shared" si="90"/>
        <v>0</v>
      </c>
      <c r="Z405" s="146"/>
      <c r="AA405" s="155">
        <f>R405+T405+V405+X405</f>
        <v>0</v>
      </c>
      <c r="AB405" s="155">
        <f>O405-AA405</f>
        <v>0</v>
      </c>
      <c r="AC405" s="149">
        <f>O405/4</f>
        <v>0</v>
      </c>
      <c r="AJ405" s="206">
        <f t="shared" si="98"/>
        <v>0</v>
      </c>
    </row>
    <row r="406" spans="1:36" ht="15">
      <c r="A406" s="140">
        <v>10949</v>
      </c>
      <c r="B406" s="140">
        <v>380</v>
      </c>
      <c r="C406" s="146"/>
      <c r="D406" s="147"/>
      <c r="E406" s="191" t="s">
        <v>1533</v>
      </c>
      <c r="F406" s="153">
        <v>2</v>
      </c>
      <c r="G406" s="146" t="s">
        <v>1320</v>
      </c>
      <c r="H406" s="140">
        <v>1</v>
      </c>
      <c r="I406" s="140" t="s">
        <v>1534</v>
      </c>
      <c r="J406" s="140">
        <v>0</v>
      </c>
      <c r="K406" s="140">
        <v>0</v>
      </c>
      <c r="L406" s="142">
        <v>0</v>
      </c>
      <c r="M406" s="143">
        <v>0</v>
      </c>
      <c r="N406" s="140">
        <v>0</v>
      </c>
      <c r="O406" s="143">
        <f t="shared" si="83"/>
        <v>0</v>
      </c>
      <c r="P406" s="140">
        <v>30</v>
      </c>
      <c r="Q406" s="159">
        <f t="shared" si="99"/>
        <v>0</v>
      </c>
      <c r="R406" s="140">
        <v>0</v>
      </c>
      <c r="S406" s="140">
        <f t="shared" si="87"/>
        <v>0</v>
      </c>
      <c r="T406" s="140">
        <v>0</v>
      </c>
      <c r="U406" s="140">
        <f t="shared" si="88"/>
        <v>0</v>
      </c>
      <c r="V406" s="140">
        <v>0</v>
      </c>
      <c r="W406" s="140">
        <f t="shared" si="89"/>
        <v>0</v>
      </c>
      <c r="X406" s="140">
        <v>0</v>
      </c>
      <c r="Y406" s="140">
        <f t="shared" si="90"/>
        <v>0</v>
      </c>
      <c r="Z406" s="146"/>
      <c r="AA406" s="155">
        <f>R406+T406+V406+X406</f>
        <v>0</v>
      </c>
      <c r="AB406" s="155">
        <f>O406-AA406</f>
        <v>0</v>
      </c>
      <c r="AC406" s="149">
        <f>O406/4</f>
        <v>0</v>
      </c>
      <c r="AJ406" s="206">
        <f t="shared" si="98"/>
        <v>0</v>
      </c>
    </row>
    <row r="407" spans="1:36" ht="15">
      <c r="A407" s="140">
        <v>10949</v>
      </c>
      <c r="B407" s="140">
        <v>381</v>
      </c>
      <c r="C407" s="146" t="s">
        <v>1140</v>
      </c>
      <c r="D407" s="147" t="s">
        <v>1139</v>
      </c>
      <c r="E407" s="152" t="s">
        <v>1311</v>
      </c>
      <c r="F407" s="153">
        <v>2</v>
      </c>
      <c r="G407" s="224" t="s">
        <v>1320</v>
      </c>
      <c r="H407" s="140">
        <v>1</v>
      </c>
      <c r="I407" s="140" t="s">
        <v>554</v>
      </c>
      <c r="J407" s="140">
        <v>0</v>
      </c>
      <c r="K407" s="142">
        <v>0</v>
      </c>
      <c r="L407" s="142">
        <v>0</v>
      </c>
      <c r="M407" s="143">
        <v>30</v>
      </c>
      <c r="N407" s="144">
        <v>0</v>
      </c>
      <c r="O407" s="143">
        <f t="shared" si="83"/>
        <v>30</v>
      </c>
      <c r="P407" s="177">
        <v>100</v>
      </c>
      <c r="Q407" s="159">
        <f t="shared" si="99"/>
        <v>3000</v>
      </c>
      <c r="R407" s="140">
        <v>10</v>
      </c>
      <c r="S407" s="151">
        <f t="shared" si="87"/>
        <v>1000</v>
      </c>
      <c r="T407" s="140">
        <v>10</v>
      </c>
      <c r="U407" s="151">
        <f t="shared" si="88"/>
        <v>1000</v>
      </c>
      <c r="V407" s="140">
        <v>10</v>
      </c>
      <c r="W407" s="151">
        <f t="shared" si="89"/>
        <v>1000</v>
      </c>
      <c r="X407" s="140">
        <v>0</v>
      </c>
      <c r="Y407" s="151">
        <f t="shared" si="90"/>
        <v>0</v>
      </c>
      <c r="Z407" s="146"/>
      <c r="AA407" s="155">
        <f t="shared" si="91"/>
        <v>30</v>
      </c>
      <c r="AB407" s="155">
        <f t="shared" si="86"/>
        <v>0</v>
      </c>
      <c r="AC407" s="149">
        <f t="shared" si="96"/>
        <v>7.5</v>
      </c>
      <c r="AD407" s="156">
        <f aca="true" t="shared" si="100" ref="AD407:AD413">Q407/4</f>
        <v>750</v>
      </c>
      <c r="AJ407" s="206">
        <f t="shared" si="98"/>
        <v>0</v>
      </c>
    </row>
    <row r="408" spans="1:36" ht="15">
      <c r="A408" s="140">
        <v>10949</v>
      </c>
      <c r="B408" s="140">
        <v>382</v>
      </c>
      <c r="C408" s="146" t="s">
        <v>1142</v>
      </c>
      <c r="D408" s="147" t="s">
        <v>1141</v>
      </c>
      <c r="E408" s="152" t="s">
        <v>1409</v>
      </c>
      <c r="F408" s="153">
        <v>2</v>
      </c>
      <c r="G408" s="224" t="s">
        <v>1320</v>
      </c>
      <c r="H408" s="140">
        <v>1</v>
      </c>
      <c r="I408" s="140" t="s">
        <v>554</v>
      </c>
      <c r="J408" s="140">
        <v>0</v>
      </c>
      <c r="K408" s="142">
        <v>0</v>
      </c>
      <c r="L408" s="142">
        <v>0</v>
      </c>
      <c r="M408" s="143">
        <v>5</v>
      </c>
      <c r="N408" s="144">
        <v>0</v>
      </c>
      <c r="O408" s="143">
        <f t="shared" si="83"/>
        <v>5</v>
      </c>
      <c r="P408" s="177">
        <v>900</v>
      </c>
      <c r="Q408" s="159">
        <f t="shared" si="99"/>
        <v>4500</v>
      </c>
      <c r="R408" s="140">
        <v>2</v>
      </c>
      <c r="S408" s="151">
        <f t="shared" si="87"/>
        <v>1800</v>
      </c>
      <c r="T408" s="140">
        <v>1</v>
      </c>
      <c r="U408" s="151">
        <f t="shared" si="88"/>
        <v>900</v>
      </c>
      <c r="V408" s="140">
        <v>1</v>
      </c>
      <c r="W408" s="151">
        <f t="shared" si="89"/>
        <v>900</v>
      </c>
      <c r="X408" s="140">
        <v>1</v>
      </c>
      <c r="Y408" s="151">
        <f t="shared" si="90"/>
        <v>900</v>
      </c>
      <c r="Z408" s="146"/>
      <c r="AA408" s="155">
        <f t="shared" si="91"/>
        <v>5</v>
      </c>
      <c r="AB408" s="155">
        <f t="shared" si="86"/>
        <v>0</v>
      </c>
      <c r="AC408" s="149">
        <f t="shared" si="96"/>
        <v>1.25</v>
      </c>
      <c r="AD408" s="156">
        <f t="shared" si="100"/>
        <v>1125</v>
      </c>
      <c r="AJ408" s="206">
        <f t="shared" si="98"/>
        <v>0</v>
      </c>
    </row>
    <row r="409" spans="1:38" ht="30">
      <c r="A409" s="140">
        <v>10949</v>
      </c>
      <c r="B409" s="140">
        <v>383</v>
      </c>
      <c r="C409" s="146" t="s">
        <v>1144</v>
      </c>
      <c r="D409" s="147" t="s">
        <v>1143</v>
      </c>
      <c r="E409" s="192" t="s">
        <v>542</v>
      </c>
      <c r="F409" s="153">
        <v>2</v>
      </c>
      <c r="G409" s="161" t="s">
        <v>1257</v>
      </c>
      <c r="H409" s="153">
        <v>1</v>
      </c>
      <c r="I409" s="153" t="s">
        <v>380</v>
      </c>
      <c r="J409" s="140">
        <v>610</v>
      </c>
      <c r="K409" s="142">
        <v>0</v>
      </c>
      <c r="L409" s="142">
        <v>0</v>
      </c>
      <c r="M409" s="143">
        <v>0</v>
      </c>
      <c r="N409" s="144">
        <v>0</v>
      </c>
      <c r="O409" s="143">
        <f t="shared" si="83"/>
        <v>0</v>
      </c>
      <c r="P409" s="140">
        <v>25</v>
      </c>
      <c r="Q409" s="159">
        <f t="shared" si="99"/>
        <v>0</v>
      </c>
      <c r="R409" s="140">
        <v>0</v>
      </c>
      <c r="S409" s="151">
        <f t="shared" si="87"/>
        <v>0</v>
      </c>
      <c r="T409" s="140">
        <v>0</v>
      </c>
      <c r="U409" s="151">
        <f t="shared" si="88"/>
        <v>0</v>
      </c>
      <c r="V409" s="140">
        <v>0</v>
      </c>
      <c r="W409" s="151">
        <f t="shared" si="89"/>
        <v>0</v>
      </c>
      <c r="X409" s="140">
        <v>0</v>
      </c>
      <c r="Y409" s="151">
        <f t="shared" si="90"/>
        <v>0</v>
      </c>
      <c r="Z409" s="146"/>
      <c r="AA409" s="155">
        <f t="shared" si="91"/>
        <v>0</v>
      </c>
      <c r="AB409" s="155">
        <f t="shared" si="86"/>
        <v>0</v>
      </c>
      <c r="AC409" s="149">
        <f t="shared" si="96"/>
        <v>0</v>
      </c>
      <c r="AD409" s="156">
        <f t="shared" si="100"/>
        <v>0</v>
      </c>
      <c r="AI409" s="150" t="s">
        <v>1354</v>
      </c>
      <c r="AJ409" s="206">
        <f t="shared" si="98"/>
        <v>0</v>
      </c>
      <c r="AL409" s="149">
        <f>AK409/H409</f>
        <v>0</v>
      </c>
    </row>
    <row r="410" spans="1:38" ht="15">
      <c r="A410" s="140">
        <v>10949</v>
      </c>
      <c r="B410" s="140">
        <v>384</v>
      </c>
      <c r="C410" s="146" t="s">
        <v>1148</v>
      </c>
      <c r="D410" s="147" t="s">
        <v>1147</v>
      </c>
      <c r="E410" s="191" t="s">
        <v>1464</v>
      </c>
      <c r="F410" s="153">
        <v>1</v>
      </c>
      <c r="G410" s="154" t="s">
        <v>1252</v>
      </c>
      <c r="H410" s="140">
        <v>500</v>
      </c>
      <c r="I410" s="140" t="s">
        <v>1253</v>
      </c>
      <c r="J410" s="140">
        <v>13</v>
      </c>
      <c r="K410" s="142">
        <v>27</v>
      </c>
      <c r="L410" s="142">
        <v>19.200000000000003</v>
      </c>
      <c r="M410" s="143">
        <v>25</v>
      </c>
      <c r="N410" s="144">
        <v>5</v>
      </c>
      <c r="O410" s="143">
        <f aca="true" t="shared" si="101" ref="O410:O438">M410-N410</f>
        <v>20</v>
      </c>
      <c r="P410" s="140">
        <v>250</v>
      </c>
      <c r="Q410" s="159">
        <f t="shared" si="99"/>
        <v>5000</v>
      </c>
      <c r="R410" s="140">
        <v>0</v>
      </c>
      <c r="S410" s="151">
        <f t="shared" si="87"/>
        <v>0</v>
      </c>
      <c r="T410" s="140">
        <v>10</v>
      </c>
      <c r="U410" s="151">
        <f t="shared" si="88"/>
        <v>2500</v>
      </c>
      <c r="V410" s="140">
        <v>0</v>
      </c>
      <c r="W410" s="151">
        <f t="shared" si="89"/>
        <v>0</v>
      </c>
      <c r="X410" s="140">
        <v>10</v>
      </c>
      <c r="Y410" s="151">
        <f t="shared" si="90"/>
        <v>2500</v>
      </c>
      <c r="Z410" s="146"/>
      <c r="AA410" s="155">
        <f t="shared" si="91"/>
        <v>20</v>
      </c>
      <c r="AB410" s="155">
        <f t="shared" si="86"/>
        <v>0</v>
      </c>
      <c r="AC410" s="149">
        <f t="shared" si="96"/>
        <v>5</v>
      </c>
      <c r="AD410" s="156">
        <f t="shared" si="100"/>
        <v>1250</v>
      </c>
      <c r="AG410" s="149">
        <v>16</v>
      </c>
      <c r="AH410" s="149">
        <v>4000</v>
      </c>
      <c r="AI410" s="150" t="s">
        <v>1352</v>
      </c>
      <c r="AJ410" s="206">
        <f t="shared" si="98"/>
        <v>19.200000000000003</v>
      </c>
      <c r="AL410" s="149">
        <f>AK410/H410</f>
        <v>0</v>
      </c>
    </row>
    <row r="411" spans="1:36" ht="15">
      <c r="A411" s="140">
        <v>10949</v>
      </c>
      <c r="B411" s="140">
        <v>385</v>
      </c>
      <c r="C411" s="146" t="s">
        <v>1146</v>
      </c>
      <c r="D411" s="147" t="s">
        <v>1145</v>
      </c>
      <c r="E411" s="152" t="s">
        <v>1315</v>
      </c>
      <c r="F411" s="153">
        <v>2</v>
      </c>
      <c r="G411" s="224" t="s">
        <v>1320</v>
      </c>
      <c r="H411" s="140">
        <v>1</v>
      </c>
      <c r="I411" s="140" t="s">
        <v>554</v>
      </c>
      <c r="J411" s="140">
        <v>0</v>
      </c>
      <c r="K411" s="142">
        <v>0</v>
      </c>
      <c r="L411" s="142">
        <v>36</v>
      </c>
      <c r="M411" s="143">
        <v>50</v>
      </c>
      <c r="N411" s="144">
        <v>0</v>
      </c>
      <c r="O411" s="143">
        <f t="shared" si="101"/>
        <v>50</v>
      </c>
      <c r="P411" s="160">
        <v>120</v>
      </c>
      <c r="Q411" s="159">
        <f t="shared" si="99"/>
        <v>6000</v>
      </c>
      <c r="R411" s="140">
        <v>10</v>
      </c>
      <c r="S411" s="151">
        <f t="shared" si="87"/>
        <v>1200</v>
      </c>
      <c r="T411" s="140">
        <v>20</v>
      </c>
      <c r="U411" s="151">
        <f t="shared" si="88"/>
        <v>2400</v>
      </c>
      <c r="V411" s="140">
        <v>10</v>
      </c>
      <c r="W411" s="151">
        <f t="shared" si="89"/>
        <v>1200</v>
      </c>
      <c r="X411" s="140">
        <v>10</v>
      </c>
      <c r="Y411" s="151">
        <f t="shared" si="90"/>
        <v>1200</v>
      </c>
      <c r="Z411" s="146"/>
      <c r="AA411" s="155">
        <f t="shared" si="91"/>
        <v>50</v>
      </c>
      <c r="AB411" s="155">
        <f t="shared" si="86"/>
        <v>0</v>
      </c>
      <c r="AC411" s="149">
        <f t="shared" si="96"/>
        <v>12.5</v>
      </c>
      <c r="AD411" s="156">
        <f t="shared" si="100"/>
        <v>1500</v>
      </c>
      <c r="AG411" s="149">
        <v>30</v>
      </c>
      <c r="AH411" s="149">
        <v>600</v>
      </c>
      <c r="AI411" s="150" t="s">
        <v>1354</v>
      </c>
      <c r="AJ411" s="206">
        <f t="shared" si="98"/>
        <v>36</v>
      </c>
    </row>
    <row r="412" spans="1:38" ht="15">
      <c r="A412" s="140">
        <v>10949</v>
      </c>
      <c r="B412" s="140">
        <v>386</v>
      </c>
      <c r="C412" s="146" t="s">
        <v>1150</v>
      </c>
      <c r="D412" s="147" t="s">
        <v>1149</v>
      </c>
      <c r="E412" s="191" t="s">
        <v>1489</v>
      </c>
      <c r="F412" s="153">
        <v>1</v>
      </c>
      <c r="G412" s="154" t="s">
        <v>1252</v>
      </c>
      <c r="H412" s="140">
        <v>500</v>
      </c>
      <c r="I412" s="140" t="s">
        <v>1253</v>
      </c>
      <c r="J412" s="140">
        <v>178</v>
      </c>
      <c r="K412" s="142">
        <v>165</v>
      </c>
      <c r="L412" s="142">
        <v>147.60000000000002</v>
      </c>
      <c r="M412" s="143">
        <v>250</v>
      </c>
      <c r="N412" s="144">
        <v>50</v>
      </c>
      <c r="O412" s="143">
        <f t="shared" si="101"/>
        <v>200</v>
      </c>
      <c r="P412" s="140">
        <v>250</v>
      </c>
      <c r="Q412" s="159">
        <f t="shared" si="99"/>
        <v>50000</v>
      </c>
      <c r="R412" s="140">
        <v>50</v>
      </c>
      <c r="S412" s="151">
        <f t="shared" si="87"/>
        <v>12500</v>
      </c>
      <c r="T412" s="140">
        <v>50</v>
      </c>
      <c r="U412" s="151">
        <f t="shared" si="88"/>
        <v>12500</v>
      </c>
      <c r="V412" s="140">
        <v>50</v>
      </c>
      <c r="W412" s="151">
        <f t="shared" si="89"/>
        <v>12500</v>
      </c>
      <c r="X412" s="140">
        <v>50</v>
      </c>
      <c r="Y412" s="151">
        <f t="shared" si="90"/>
        <v>12500</v>
      </c>
      <c r="Z412" s="146"/>
      <c r="AA412" s="155">
        <f t="shared" si="91"/>
        <v>200</v>
      </c>
      <c r="AB412" s="155">
        <f t="shared" si="86"/>
        <v>0</v>
      </c>
      <c r="AC412" s="149">
        <f t="shared" si="96"/>
        <v>50</v>
      </c>
      <c r="AD412" s="156">
        <f t="shared" si="100"/>
        <v>12500</v>
      </c>
      <c r="AG412" s="149">
        <v>123</v>
      </c>
      <c r="AH412" s="149">
        <v>30750</v>
      </c>
      <c r="AI412" s="150" t="s">
        <v>1352</v>
      </c>
      <c r="AJ412" s="206">
        <f t="shared" si="98"/>
        <v>147.60000000000002</v>
      </c>
      <c r="AL412" s="149">
        <f>AK412/H412</f>
        <v>0</v>
      </c>
    </row>
    <row r="413" spans="1:38" ht="15">
      <c r="A413" s="140">
        <v>10949</v>
      </c>
      <c r="B413" s="140">
        <v>387</v>
      </c>
      <c r="C413" s="146" t="s">
        <v>1158</v>
      </c>
      <c r="D413" s="147" t="s">
        <v>1157</v>
      </c>
      <c r="E413" s="152" t="s">
        <v>1309</v>
      </c>
      <c r="F413" s="140">
        <v>1</v>
      </c>
      <c r="G413" s="146" t="s">
        <v>1319</v>
      </c>
      <c r="H413" s="140">
        <v>1</v>
      </c>
      <c r="I413" s="140" t="s">
        <v>1310</v>
      </c>
      <c r="J413" s="140">
        <v>1965</v>
      </c>
      <c r="K413" s="142">
        <v>1880</v>
      </c>
      <c r="L413" s="142">
        <v>1560</v>
      </c>
      <c r="M413" s="143">
        <v>2000</v>
      </c>
      <c r="N413" s="140">
        <v>400</v>
      </c>
      <c r="O413" s="143">
        <f t="shared" si="101"/>
        <v>1600</v>
      </c>
      <c r="P413" s="160">
        <v>20</v>
      </c>
      <c r="Q413" s="159">
        <f t="shared" si="99"/>
        <v>32000</v>
      </c>
      <c r="R413" s="140">
        <v>400</v>
      </c>
      <c r="S413" s="151">
        <f t="shared" si="87"/>
        <v>8000</v>
      </c>
      <c r="T413" s="140">
        <v>400</v>
      </c>
      <c r="U413" s="151">
        <f t="shared" si="88"/>
        <v>8000</v>
      </c>
      <c r="V413" s="140">
        <v>400</v>
      </c>
      <c r="W413" s="151">
        <f t="shared" si="89"/>
        <v>8000</v>
      </c>
      <c r="X413" s="140">
        <v>400</v>
      </c>
      <c r="Y413" s="151">
        <f t="shared" si="90"/>
        <v>8000</v>
      </c>
      <c r="Z413" s="146"/>
      <c r="AA413" s="155">
        <f t="shared" si="91"/>
        <v>1600</v>
      </c>
      <c r="AB413" s="155">
        <f t="shared" si="86"/>
        <v>0</v>
      </c>
      <c r="AC413" s="149">
        <f t="shared" si="96"/>
        <v>400</v>
      </c>
      <c r="AD413" s="156">
        <f t="shared" si="100"/>
        <v>8000</v>
      </c>
      <c r="AG413" s="149">
        <v>1300</v>
      </c>
      <c r="AH413" s="149">
        <v>26000</v>
      </c>
      <c r="AI413" s="150" t="s">
        <v>1354</v>
      </c>
      <c r="AJ413" s="206">
        <f t="shared" si="98"/>
        <v>1560</v>
      </c>
      <c r="AL413" s="149">
        <f>AK413/H413</f>
        <v>0</v>
      </c>
    </row>
    <row r="414" spans="1:36" ht="15">
      <c r="A414" s="140">
        <v>10949</v>
      </c>
      <c r="B414" s="140">
        <v>388</v>
      </c>
      <c r="C414" s="146" t="s">
        <v>1152</v>
      </c>
      <c r="D414" s="147" t="s">
        <v>1151</v>
      </c>
      <c r="E414" s="194" t="s">
        <v>1442</v>
      </c>
      <c r="F414" s="153">
        <v>1</v>
      </c>
      <c r="G414" s="149" t="s">
        <v>1252</v>
      </c>
      <c r="H414" s="140">
        <v>100</v>
      </c>
      <c r="I414" s="140" t="s">
        <v>1253</v>
      </c>
      <c r="J414" s="140">
        <v>25</v>
      </c>
      <c r="K414" s="140">
        <v>125</v>
      </c>
      <c r="L414" s="142">
        <v>0</v>
      </c>
      <c r="M414" s="143">
        <v>0</v>
      </c>
      <c r="N414" s="140">
        <v>0</v>
      </c>
      <c r="O414" s="143">
        <f t="shared" si="101"/>
        <v>0</v>
      </c>
      <c r="P414" s="140">
        <v>115.03</v>
      </c>
      <c r="Q414" s="159">
        <f t="shared" si="99"/>
        <v>0</v>
      </c>
      <c r="R414" s="140">
        <v>0</v>
      </c>
      <c r="S414" s="140">
        <f t="shared" si="87"/>
        <v>0</v>
      </c>
      <c r="T414" s="140">
        <v>0</v>
      </c>
      <c r="U414" s="140">
        <f t="shared" si="88"/>
        <v>0</v>
      </c>
      <c r="V414" s="140">
        <v>0</v>
      </c>
      <c r="W414" s="140">
        <f t="shared" si="89"/>
        <v>0</v>
      </c>
      <c r="X414" s="140">
        <v>0</v>
      </c>
      <c r="Y414" s="140">
        <f t="shared" si="90"/>
        <v>0</v>
      </c>
      <c r="Z414" s="146"/>
      <c r="AA414" s="155">
        <f t="shared" si="91"/>
        <v>0</v>
      </c>
      <c r="AB414" s="155">
        <f t="shared" si="86"/>
        <v>0</v>
      </c>
      <c r="AC414" s="149">
        <f t="shared" si="96"/>
        <v>0</v>
      </c>
      <c r="AJ414" s="206">
        <f t="shared" si="98"/>
        <v>0</v>
      </c>
    </row>
    <row r="415" spans="1:38" ht="15">
      <c r="A415" s="140">
        <v>10949</v>
      </c>
      <c r="B415" s="140">
        <v>389</v>
      </c>
      <c r="C415" s="146" t="s">
        <v>1154</v>
      </c>
      <c r="D415" s="147" t="s">
        <v>1153</v>
      </c>
      <c r="E415" s="152" t="s">
        <v>541</v>
      </c>
      <c r="F415" s="153">
        <v>1</v>
      </c>
      <c r="G415" s="146" t="s">
        <v>1251</v>
      </c>
      <c r="H415" s="140">
        <v>180</v>
      </c>
      <c r="I415" s="140" t="s">
        <v>1250</v>
      </c>
      <c r="J415" s="140">
        <v>1668</v>
      </c>
      <c r="K415" s="142">
        <v>1605</v>
      </c>
      <c r="L415" s="142">
        <v>1740</v>
      </c>
      <c r="M415" s="143">
        <v>1800</v>
      </c>
      <c r="N415" s="144">
        <v>200</v>
      </c>
      <c r="O415" s="143">
        <f t="shared" si="101"/>
        <v>1600</v>
      </c>
      <c r="P415" s="160">
        <v>20</v>
      </c>
      <c r="Q415" s="159">
        <f t="shared" si="99"/>
        <v>32000</v>
      </c>
      <c r="R415" s="140">
        <v>400</v>
      </c>
      <c r="S415" s="151">
        <f t="shared" si="87"/>
        <v>8000</v>
      </c>
      <c r="T415" s="140">
        <v>400</v>
      </c>
      <c r="U415" s="151">
        <f t="shared" si="88"/>
        <v>8000</v>
      </c>
      <c r="V415" s="140">
        <v>400</v>
      </c>
      <c r="W415" s="151">
        <f t="shared" si="89"/>
        <v>8000</v>
      </c>
      <c r="X415" s="140">
        <v>400</v>
      </c>
      <c r="Y415" s="151">
        <f t="shared" si="90"/>
        <v>8000</v>
      </c>
      <c r="Z415" s="146"/>
      <c r="AA415" s="155">
        <f t="shared" si="91"/>
        <v>1600</v>
      </c>
      <c r="AB415" s="155">
        <f t="shared" si="86"/>
        <v>0</v>
      </c>
      <c r="AC415" s="149">
        <f t="shared" si="96"/>
        <v>400</v>
      </c>
      <c r="AD415" s="156">
        <f>Q415/4</f>
        <v>8000</v>
      </c>
      <c r="AG415" s="149">
        <v>1450</v>
      </c>
      <c r="AH415" s="149">
        <v>27352</v>
      </c>
      <c r="AI415" s="150" t="s">
        <v>1356</v>
      </c>
      <c r="AJ415" s="206">
        <f t="shared" si="98"/>
        <v>1740</v>
      </c>
      <c r="AL415" s="149">
        <f>AK415</f>
        <v>0</v>
      </c>
    </row>
    <row r="416" spans="1:36" ht="15">
      <c r="A416" s="140">
        <v>10949</v>
      </c>
      <c r="B416" s="140">
        <v>390</v>
      </c>
      <c r="C416" s="146" t="s">
        <v>1156</v>
      </c>
      <c r="D416" s="147" t="s">
        <v>1155</v>
      </c>
      <c r="E416" s="191" t="s">
        <v>1496</v>
      </c>
      <c r="F416" s="153">
        <v>1</v>
      </c>
      <c r="G416" s="146" t="s">
        <v>1257</v>
      </c>
      <c r="H416" s="140">
        <v>1</v>
      </c>
      <c r="I416" s="140" t="s">
        <v>380</v>
      </c>
      <c r="J416" s="140">
        <v>1380</v>
      </c>
      <c r="K416" s="140">
        <v>2200</v>
      </c>
      <c r="L416" s="142">
        <v>2484</v>
      </c>
      <c r="M416" s="143">
        <v>2500</v>
      </c>
      <c r="N416" s="140">
        <v>500</v>
      </c>
      <c r="O416" s="143">
        <f t="shared" si="101"/>
        <v>2000</v>
      </c>
      <c r="P416" s="140">
        <v>10</v>
      </c>
      <c r="Q416" s="159">
        <f t="shared" si="99"/>
        <v>20000</v>
      </c>
      <c r="R416" s="140">
        <v>500</v>
      </c>
      <c r="S416" s="140">
        <f t="shared" si="87"/>
        <v>5000</v>
      </c>
      <c r="T416" s="140">
        <v>500</v>
      </c>
      <c r="U416" s="140">
        <f t="shared" si="88"/>
        <v>5000</v>
      </c>
      <c r="V416" s="140">
        <v>500</v>
      </c>
      <c r="W416" s="140">
        <f t="shared" si="89"/>
        <v>5000</v>
      </c>
      <c r="X416" s="140">
        <v>500</v>
      </c>
      <c r="Y416" s="140">
        <f t="shared" si="90"/>
        <v>5000</v>
      </c>
      <c r="Z416" s="146"/>
      <c r="AA416" s="155">
        <f t="shared" si="91"/>
        <v>2000</v>
      </c>
      <c r="AB416" s="155">
        <f t="shared" si="86"/>
        <v>0</v>
      </c>
      <c r="AC416" s="149">
        <f t="shared" si="96"/>
        <v>500</v>
      </c>
      <c r="AG416" s="149">
        <v>2070</v>
      </c>
      <c r="AH416" s="149">
        <v>19170</v>
      </c>
      <c r="AJ416" s="206">
        <f t="shared" si="98"/>
        <v>2484</v>
      </c>
    </row>
    <row r="417" spans="1:36" ht="15">
      <c r="A417" s="140">
        <v>10949</v>
      </c>
      <c r="B417" s="140">
        <v>391</v>
      </c>
      <c r="C417" s="146" t="s">
        <v>1160</v>
      </c>
      <c r="D417" s="147" t="s">
        <v>1159</v>
      </c>
      <c r="E417" s="191" t="s">
        <v>1444</v>
      </c>
      <c r="F417" s="153">
        <v>1</v>
      </c>
      <c r="G417" s="146" t="s">
        <v>1252</v>
      </c>
      <c r="H417" s="140">
        <v>100</v>
      </c>
      <c r="I417" s="140" t="s">
        <v>1253</v>
      </c>
      <c r="J417" s="140">
        <v>26</v>
      </c>
      <c r="K417" s="140">
        <v>124</v>
      </c>
      <c r="L417" s="142">
        <v>0</v>
      </c>
      <c r="M417" s="143">
        <v>0</v>
      </c>
      <c r="N417" s="140">
        <v>0</v>
      </c>
      <c r="O417" s="143">
        <f t="shared" si="101"/>
        <v>0</v>
      </c>
      <c r="P417" s="140">
        <v>152.86</v>
      </c>
      <c r="Q417" s="159">
        <f t="shared" si="99"/>
        <v>0</v>
      </c>
      <c r="R417" s="140">
        <v>0</v>
      </c>
      <c r="S417" s="140">
        <f t="shared" si="87"/>
        <v>0</v>
      </c>
      <c r="T417" s="140">
        <v>0</v>
      </c>
      <c r="U417" s="140">
        <f t="shared" si="88"/>
        <v>0</v>
      </c>
      <c r="V417" s="140">
        <v>0</v>
      </c>
      <c r="W417" s="140">
        <f t="shared" si="89"/>
        <v>0</v>
      </c>
      <c r="X417" s="140">
        <v>0</v>
      </c>
      <c r="Y417" s="140">
        <f t="shared" si="90"/>
        <v>0</v>
      </c>
      <c r="Z417" s="146"/>
      <c r="AA417" s="155">
        <f t="shared" si="91"/>
        <v>0</v>
      </c>
      <c r="AB417" s="155">
        <f t="shared" si="86"/>
        <v>0</v>
      </c>
      <c r="AC417" s="149">
        <f t="shared" si="96"/>
        <v>0</v>
      </c>
      <c r="AJ417" s="206">
        <f t="shared" si="98"/>
        <v>0</v>
      </c>
    </row>
    <row r="418" spans="1:38" ht="30">
      <c r="A418" s="140">
        <v>10949</v>
      </c>
      <c r="B418" s="140">
        <v>392</v>
      </c>
      <c r="C418" s="146" t="s">
        <v>1162</v>
      </c>
      <c r="D418" s="147" t="s">
        <v>1161</v>
      </c>
      <c r="E418" s="193" t="s">
        <v>602</v>
      </c>
      <c r="F418" s="153">
        <v>2</v>
      </c>
      <c r="G418" s="176" t="s">
        <v>1252</v>
      </c>
      <c r="H418" s="153">
        <v>60</v>
      </c>
      <c r="I418" s="153" t="s">
        <v>1253</v>
      </c>
      <c r="J418" s="140">
        <v>32</v>
      </c>
      <c r="K418" s="142">
        <v>30</v>
      </c>
      <c r="L418" s="142">
        <v>0</v>
      </c>
      <c r="M418" s="143">
        <v>0</v>
      </c>
      <c r="N418" s="144">
        <v>0</v>
      </c>
      <c r="O418" s="143">
        <f t="shared" si="101"/>
        <v>0</v>
      </c>
      <c r="P418" s="160">
        <v>60</v>
      </c>
      <c r="Q418" s="159">
        <f t="shared" si="99"/>
        <v>0</v>
      </c>
      <c r="R418" s="140">
        <v>0</v>
      </c>
      <c r="S418" s="151">
        <f t="shared" si="87"/>
        <v>0</v>
      </c>
      <c r="T418" s="140">
        <v>0</v>
      </c>
      <c r="U418" s="151">
        <f t="shared" si="88"/>
        <v>0</v>
      </c>
      <c r="V418" s="140">
        <v>0</v>
      </c>
      <c r="W418" s="151">
        <f t="shared" si="89"/>
        <v>0</v>
      </c>
      <c r="X418" s="140">
        <v>0</v>
      </c>
      <c r="Y418" s="151">
        <f t="shared" si="90"/>
        <v>0</v>
      </c>
      <c r="Z418" s="146"/>
      <c r="AA418" s="155">
        <f t="shared" si="91"/>
        <v>0</v>
      </c>
      <c r="AB418" s="155">
        <f t="shared" si="86"/>
        <v>0</v>
      </c>
      <c r="AC418" s="149">
        <f t="shared" si="96"/>
        <v>0</v>
      </c>
      <c r="AD418" s="156">
        <f>Q418/4</f>
        <v>0</v>
      </c>
      <c r="AJ418" s="206">
        <f t="shared" si="98"/>
        <v>0</v>
      </c>
      <c r="AL418" s="149">
        <f>AK418/H418</f>
        <v>0</v>
      </c>
    </row>
    <row r="419" spans="1:36" ht="15">
      <c r="A419" s="140">
        <v>10949</v>
      </c>
      <c r="B419" s="140">
        <v>393</v>
      </c>
      <c r="C419" s="146" t="s">
        <v>1166</v>
      </c>
      <c r="D419" s="147" t="s">
        <v>1165</v>
      </c>
      <c r="E419" s="191" t="s">
        <v>1441</v>
      </c>
      <c r="F419" s="153">
        <v>1</v>
      </c>
      <c r="G419" s="146" t="s">
        <v>1252</v>
      </c>
      <c r="H419" s="140">
        <v>100</v>
      </c>
      <c r="I419" s="140" t="s">
        <v>1253</v>
      </c>
      <c r="J419" s="140">
        <v>0</v>
      </c>
      <c r="K419" s="140">
        <v>0</v>
      </c>
      <c r="L419" s="142">
        <v>0</v>
      </c>
      <c r="M419" s="143">
        <v>0</v>
      </c>
      <c r="N419" s="140">
        <v>0</v>
      </c>
      <c r="O419" s="143">
        <f t="shared" si="101"/>
        <v>0</v>
      </c>
      <c r="P419" s="140">
        <v>100</v>
      </c>
      <c r="Q419" s="159">
        <f t="shared" si="99"/>
        <v>0</v>
      </c>
      <c r="R419" s="140">
        <v>0</v>
      </c>
      <c r="S419" s="140">
        <f t="shared" si="87"/>
        <v>0</v>
      </c>
      <c r="T419" s="140">
        <v>0</v>
      </c>
      <c r="U419" s="140">
        <f t="shared" si="88"/>
        <v>0</v>
      </c>
      <c r="V419" s="140">
        <v>0</v>
      </c>
      <c r="W419" s="140">
        <f t="shared" si="89"/>
        <v>0</v>
      </c>
      <c r="X419" s="140">
        <v>0</v>
      </c>
      <c r="Y419" s="140">
        <f t="shared" si="90"/>
        <v>0</v>
      </c>
      <c r="Z419" s="146"/>
      <c r="AA419" s="155">
        <f t="shared" si="91"/>
        <v>0</v>
      </c>
      <c r="AB419" s="155">
        <f t="shared" si="86"/>
        <v>0</v>
      </c>
      <c r="AC419" s="149">
        <f t="shared" si="96"/>
        <v>0</v>
      </c>
      <c r="AJ419" s="206">
        <f t="shared" si="98"/>
        <v>0</v>
      </c>
    </row>
    <row r="420" spans="1:38" ht="15">
      <c r="A420" s="140">
        <v>10949</v>
      </c>
      <c r="B420" s="140">
        <v>394</v>
      </c>
      <c r="C420" s="146" t="s">
        <v>1164</v>
      </c>
      <c r="D420" s="147" t="s">
        <v>1163</v>
      </c>
      <c r="E420" s="152" t="s">
        <v>1236</v>
      </c>
      <c r="F420" s="140">
        <v>2</v>
      </c>
      <c r="G420" s="146" t="s">
        <v>1257</v>
      </c>
      <c r="H420" s="140">
        <v>1</v>
      </c>
      <c r="I420" s="140" t="s">
        <v>380</v>
      </c>
      <c r="J420" s="140">
        <v>1040</v>
      </c>
      <c r="K420" s="142">
        <v>1185</v>
      </c>
      <c r="L420" s="142">
        <v>1024.8000000000002</v>
      </c>
      <c r="M420" s="143">
        <v>1200</v>
      </c>
      <c r="N420" s="144">
        <v>100</v>
      </c>
      <c r="O420" s="143">
        <f t="shared" si="101"/>
        <v>1100</v>
      </c>
      <c r="P420" s="160">
        <v>35</v>
      </c>
      <c r="Q420" s="159">
        <f t="shared" si="99"/>
        <v>38500</v>
      </c>
      <c r="R420" s="140">
        <v>280</v>
      </c>
      <c r="S420" s="151">
        <f t="shared" si="87"/>
        <v>9800</v>
      </c>
      <c r="T420" s="140">
        <v>270</v>
      </c>
      <c r="U420" s="151">
        <f t="shared" si="88"/>
        <v>9450</v>
      </c>
      <c r="V420" s="140">
        <v>280</v>
      </c>
      <c r="W420" s="151">
        <f t="shared" si="89"/>
        <v>9800</v>
      </c>
      <c r="X420" s="140">
        <v>270</v>
      </c>
      <c r="Y420" s="151">
        <f t="shared" si="90"/>
        <v>9450</v>
      </c>
      <c r="Z420" s="146"/>
      <c r="AA420" s="155">
        <f t="shared" si="91"/>
        <v>1100</v>
      </c>
      <c r="AB420" s="155">
        <f aca="true" t="shared" si="102" ref="AB420:AB438">O420-AA420</f>
        <v>0</v>
      </c>
      <c r="AC420" s="149">
        <f t="shared" si="96"/>
        <v>275</v>
      </c>
      <c r="AD420" s="156">
        <f>Q420/4</f>
        <v>9625</v>
      </c>
      <c r="AG420" s="149">
        <v>854</v>
      </c>
      <c r="AH420" s="149">
        <v>29890</v>
      </c>
      <c r="AI420" s="150" t="s">
        <v>1354</v>
      </c>
      <c r="AJ420" s="206">
        <f t="shared" si="98"/>
        <v>1024.8000000000002</v>
      </c>
      <c r="AL420" s="149">
        <f>AK420/H420</f>
        <v>0</v>
      </c>
    </row>
    <row r="421" spans="1:38" ht="15">
      <c r="A421" s="140">
        <v>10949</v>
      </c>
      <c r="B421" s="140">
        <v>395</v>
      </c>
      <c r="C421" s="212">
        <v>914653</v>
      </c>
      <c r="D421" s="147" t="s">
        <v>1335</v>
      </c>
      <c r="E421" s="152" t="s">
        <v>408</v>
      </c>
      <c r="F421" s="153">
        <v>1</v>
      </c>
      <c r="G421" s="224" t="s">
        <v>1261</v>
      </c>
      <c r="H421" s="221">
        <v>15</v>
      </c>
      <c r="I421" s="221" t="s">
        <v>1238</v>
      </c>
      <c r="J421" s="140">
        <v>622</v>
      </c>
      <c r="K421" s="142">
        <v>376</v>
      </c>
      <c r="L421" s="142">
        <v>294</v>
      </c>
      <c r="M421" s="143">
        <v>300</v>
      </c>
      <c r="N421" s="144">
        <v>50</v>
      </c>
      <c r="O421" s="143">
        <f t="shared" si="101"/>
        <v>250</v>
      </c>
      <c r="P421" s="160">
        <v>20</v>
      </c>
      <c r="Q421" s="159">
        <f t="shared" si="99"/>
        <v>5000</v>
      </c>
      <c r="R421" s="140">
        <v>60</v>
      </c>
      <c r="S421" s="151">
        <f t="shared" si="87"/>
        <v>1200</v>
      </c>
      <c r="T421" s="140">
        <v>70</v>
      </c>
      <c r="U421" s="151">
        <f t="shared" si="88"/>
        <v>1400</v>
      </c>
      <c r="V421" s="140">
        <v>60</v>
      </c>
      <c r="W421" s="151">
        <f t="shared" si="89"/>
        <v>1200</v>
      </c>
      <c r="X421" s="140">
        <v>60</v>
      </c>
      <c r="Y421" s="151">
        <f t="shared" si="90"/>
        <v>1200</v>
      </c>
      <c r="Z421" s="146"/>
      <c r="AA421" s="155">
        <f t="shared" si="91"/>
        <v>250</v>
      </c>
      <c r="AB421" s="155">
        <f t="shared" si="102"/>
        <v>0</v>
      </c>
      <c r="AC421" s="149">
        <f t="shared" si="96"/>
        <v>62.5</v>
      </c>
      <c r="AD421" s="156">
        <f>Q421/4</f>
        <v>1250</v>
      </c>
      <c r="AG421" s="149">
        <v>245</v>
      </c>
      <c r="AH421" s="149">
        <v>4900</v>
      </c>
      <c r="AI421" s="150" t="s">
        <v>1352</v>
      </c>
      <c r="AJ421" s="206">
        <f t="shared" si="98"/>
        <v>294</v>
      </c>
      <c r="AL421" s="149">
        <f>AK421/H421</f>
        <v>0</v>
      </c>
    </row>
    <row r="422" spans="1:36" ht="15">
      <c r="A422" s="140">
        <v>10949</v>
      </c>
      <c r="B422" s="140">
        <v>396</v>
      </c>
      <c r="C422" s="212"/>
      <c r="D422" s="147"/>
      <c r="E422" s="152" t="s">
        <v>1570</v>
      </c>
      <c r="F422" s="153">
        <v>1</v>
      </c>
      <c r="G422" s="224" t="s">
        <v>1261</v>
      </c>
      <c r="H422" s="221">
        <v>50</v>
      </c>
      <c r="I422" s="221" t="s">
        <v>1238</v>
      </c>
      <c r="J422" s="140">
        <v>0</v>
      </c>
      <c r="K422" s="142">
        <v>0</v>
      </c>
      <c r="L422" s="142">
        <v>100.80000000000001</v>
      </c>
      <c r="M422" s="143">
        <v>100</v>
      </c>
      <c r="N422" s="144">
        <v>0</v>
      </c>
      <c r="O422" s="143">
        <f t="shared" si="101"/>
        <v>100</v>
      </c>
      <c r="P422" s="160">
        <v>50</v>
      </c>
      <c r="Q422" s="159">
        <f t="shared" si="99"/>
        <v>5000</v>
      </c>
      <c r="R422" s="140">
        <v>50</v>
      </c>
      <c r="S422" s="151">
        <f t="shared" si="87"/>
        <v>2500</v>
      </c>
      <c r="T422" s="140">
        <v>0</v>
      </c>
      <c r="U422" s="151">
        <f t="shared" si="88"/>
        <v>0</v>
      </c>
      <c r="V422" s="140">
        <v>50</v>
      </c>
      <c r="W422" s="151">
        <f t="shared" si="89"/>
        <v>2500</v>
      </c>
      <c r="X422" s="140">
        <v>0</v>
      </c>
      <c r="Y422" s="151">
        <f t="shared" si="90"/>
        <v>0</v>
      </c>
      <c r="Z422" s="146"/>
      <c r="AA422" s="155">
        <f t="shared" si="91"/>
        <v>100</v>
      </c>
      <c r="AB422" s="155">
        <f t="shared" si="102"/>
        <v>0</v>
      </c>
      <c r="AD422" s="156"/>
      <c r="AG422" s="149">
        <v>84</v>
      </c>
      <c r="AH422" s="149">
        <v>5040</v>
      </c>
      <c r="AJ422" s="206">
        <f t="shared" si="98"/>
        <v>100.80000000000001</v>
      </c>
    </row>
    <row r="423" spans="1:38" ht="15">
      <c r="A423" s="140">
        <v>10949</v>
      </c>
      <c r="B423" s="140">
        <v>397</v>
      </c>
      <c r="C423" s="146" t="s">
        <v>1168</v>
      </c>
      <c r="D423" s="147" t="s">
        <v>1167</v>
      </c>
      <c r="E423" s="152" t="s">
        <v>573</v>
      </c>
      <c r="F423" s="153">
        <v>2</v>
      </c>
      <c r="G423" s="146" t="s">
        <v>1261</v>
      </c>
      <c r="H423" s="221">
        <v>15</v>
      </c>
      <c r="I423" s="221" t="s">
        <v>1238</v>
      </c>
      <c r="J423" s="140">
        <v>513</v>
      </c>
      <c r="K423" s="142">
        <v>207</v>
      </c>
      <c r="L423" s="142">
        <v>192</v>
      </c>
      <c r="M423" s="143">
        <v>300</v>
      </c>
      <c r="N423" s="144">
        <v>0</v>
      </c>
      <c r="O423" s="143">
        <f t="shared" si="101"/>
        <v>300</v>
      </c>
      <c r="P423" s="160">
        <v>20</v>
      </c>
      <c r="Q423" s="159">
        <f t="shared" si="99"/>
        <v>6000</v>
      </c>
      <c r="R423" s="140">
        <v>100</v>
      </c>
      <c r="S423" s="151">
        <f t="shared" si="87"/>
        <v>2000</v>
      </c>
      <c r="T423" s="140">
        <v>100</v>
      </c>
      <c r="U423" s="151">
        <f t="shared" si="88"/>
        <v>2000</v>
      </c>
      <c r="V423" s="140">
        <v>100</v>
      </c>
      <c r="W423" s="151">
        <f t="shared" si="89"/>
        <v>2000</v>
      </c>
      <c r="X423" s="140">
        <v>0</v>
      </c>
      <c r="Y423" s="151">
        <f t="shared" si="90"/>
        <v>0</v>
      </c>
      <c r="Z423" s="146"/>
      <c r="AA423" s="155">
        <f t="shared" si="91"/>
        <v>300</v>
      </c>
      <c r="AB423" s="155">
        <f t="shared" si="102"/>
        <v>0</v>
      </c>
      <c r="AC423" s="149">
        <f t="shared" si="96"/>
        <v>75</v>
      </c>
      <c r="AD423" s="156">
        <f>Q423/4</f>
        <v>1500</v>
      </c>
      <c r="AG423" s="149">
        <v>160</v>
      </c>
      <c r="AH423" s="149">
        <v>7200</v>
      </c>
      <c r="AI423" s="150" t="s">
        <v>1354</v>
      </c>
      <c r="AJ423" s="206">
        <f t="shared" si="98"/>
        <v>192</v>
      </c>
      <c r="AL423" s="149">
        <f>AK423</f>
        <v>0</v>
      </c>
    </row>
    <row r="424" spans="1:36" ht="15">
      <c r="A424" s="140">
        <v>10949</v>
      </c>
      <c r="B424" s="140">
        <v>398</v>
      </c>
      <c r="C424" s="146" t="s">
        <v>1172</v>
      </c>
      <c r="D424" s="147" t="s">
        <v>1171</v>
      </c>
      <c r="E424" s="191" t="s">
        <v>1439</v>
      </c>
      <c r="F424" s="153">
        <v>1</v>
      </c>
      <c r="G424" s="146" t="s">
        <v>1246</v>
      </c>
      <c r="H424" s="140">
        <v>1</v>
      </c>
      <c r="I424" s="140" t="s">
        <v>1235</v>
      </c>
      <c r="J424" s="140">
        <v>62</v>
      </c>
      <c r="K424" s="140">
        <v>68</v>
      </c>
      <c r="L424" s="142">
        <v>0</v>
      </c>
      <c r="M424" s="143">
        <v>0</v>
      </c>
      <c r="N424" s="140">
        <v>0</v>
      </c>
      <c r="O424" s="143">
        <f t="shared" si="101"/>
        <v>0</v>
      </c>
      <c r="P424" s="140">
        <v>37.45</v>
      </c>
      <c r="Q424" s="159">
        <f t="shared" si="99"/>
        <v>0</v>
      </c>
      <c r="R424" s="140">
        <v>0</v>
      </c>
      <c r="S424" s="140">
        <f aca="true" t="shared" si="103" ref="S424:S438">R424*P424</f>
        <v>0</v>
      </c>
      <c r="T424" s="140">
        <v>0</v>
      </c>
      <c r="U424" s="140">
        <f aca="true" t="shared" si="104" ref="U424:U438">T424*P424</f>
        <v>0</v>
      </c>
      <c r="V424" s="140">
        <v>0</v>
      </c>
      <c r="W424" s="140">
        <f aca="true" t="shared" si="105" ref="W424:W438">V424*P424</f>
        <v>0</v>
      </c>
      <c r="X424" s="140">
        <v>0</v>
      </c>
      <c r="Y424" s="140">
        <f aca="true" t="shared" si="106" ref="Y424:Y438">X424*P424</f>
        <v>0</v>
      </c>
      <c r="Z424" s="146"/>
      <c r="AA424" s="155">
        <f aca="true" t="shared" si="107" ref="AA424:AA438">R424+T424+V424+X424</f>
        <v>0</v>
      </c>
      <c r="AB424" s="155">
        <f t="shared" si="102"/>
        <v>0</v>
      </c>
      <c r="AC424" s="149">
        <f t="shared" si="96"/>
        <v>0</v>
      </c>
      <c r="AJ424" s="206">
        <f t="shared" si="98"/>
        <v>0</v>
      </c>
    </row>
    <row r="425" spans="1:36" ht="15">
      <c r="A425" s="140">
        <v>10949</v>
      </c>
      <c r="B425" s="140">
        <v>399</v>
      </c>
      <c r="C425" s="146" t="s">
        <v>1170</v>
      </c>
      <c r="D425" s="147" t="s">
        <v>1169</v>
      </c>
      <c r="E425" s="191" t="s">
        <v>1440</v>
      </c>
      <c r="F425" s="153">
        <v>1</v>
      </c>
      <c r="G425" s="146" t="s">
        <v>1246</v>
      </c>
      <c r="H425" s="140">
        <v>1</v>
      </c>
      <c r="I425" s="140" t="s">
        <v>1235</v>
      </c>
      <c r="J425" s="140">
        <v>76</v>
      </c>
      <c r="K425" s="140">
        <v>44</v>
      </c>
      <c r="L425" s="142">
        <v>0</v>
      </c>
      <c r="M425" s="143">
        <v>0</v>
      </c>
      <c r="N425" s="140">
        <v>0</v>
      </c>
      <c r="O425" s="143">
        <f t="shared" si="101"/>
        <v>0</v>
      </c>
      <c r="P425" s="140">
        <v>37.45</v>
      </c>
      <c r="Q425" s="159">
        <f t="shared" si="99"/>
        <v>0</v>
      </c>
      <c r="R425" s="140">
        <v>0</v>
      </c>
      <c r="S425" s="140">
        <f t="shared" si="103"/>
        <v>0</v>
      </c>
      <c r="T425" s="140">
        <v>0</v>
      </c>
      <c r="U425" s="140">
        <f t="shared" si="104"/>
        <v>0</v>
      </c>
      <c r="V425" s="140">
        <v>0</v>
      </c>
      <c r="W425" s="140">
        <f t="shared" si="105"/>
        <v>0</v>
      </c>
      <c r="X425" s="140">
        <v>0</v>
      </c>
      <c r="Y425" s="140">
        <f t="shared" si="106"/>
        <v>0</v>
      </c>
      <c r="Z425" s="146"/>
      <c r="AA425" s="155">
        <f t="shared" si="107"/>
        <v>0</v>
      </c>
      <c r="AB425" s="155">
        <f t="shared" si="102"/>
        <v>0</v>
      </c>
      <c r="AC425" s="149">
        <f t="shared" si="96"/>
        <v>0</v>
      </c>
      <c r="AJ425" s="206">
        <f t="shared" si="98"/>
        <v>0</v>
      </c>
    </row>
    <row r="426" spans="1:36" ht="15">
      <c r="A426" s="140">
        <v>10949</v>
      </c>
      <c r="B426" s="140">
        <v>400</v>
      </c>
      <c r="C426" s="146" t="s">
        <v>1196</v>
      </c>
      <c r="D426" s="147" t="s">
        <v>1195</v>
      </c>
      <c r="E426" s="191" t="s">
        <v>1443</v>
      </c>
      <c r="F426" s="153">
        <v>1</v>
      </c>
      <c r="G426" s="146" t="s">
        <v>1245</v>
      </c>
      <c r="H426" s="140">
        <v>100</v>
      </c>
      <c r="I426" s="140" t="s">
        <v>376</v>
      </c>
      <c r="J426" s="140">
        <v>25</v>
      </c>
      <c r="K426" s="140">
        <v>125</v>
      </c>
      <c r="L426" s="142">
        <v>0</v>
      </c>
      <c r="M426" s="143">
        <v>0</v>
      </c>
      <c r="N426" s="140">
        <v>0</v>
      </c>
      <c r="O426" s="143">
        <f t="shared" si="101"/>
        <v>0</v>
      </c>
      <c r="P426" s="140">
        <v>152.48</v>
      </c>
      <c r="Q426" s="159">
        <f t="shared" si="99"/>
        <v>0</v>
      </c>
      <c r="R426" s="140">
        <v>0</v>
      </c>
      <c r="S426" s="140">
        <f t="shared" si="103"/>
        <v>0</v>
      </c>
      <c r="T426" s="140">
        <v>0</v>
      </c>
      <c r="U426" s="140">
        <f t="shared" si="104"/>
        <v>0</v>
      </c>
      <c r="V426" s="140">
        <v>0</v>
      </c>
      <c r="W426" s="140">
        <f t="shared" si="105"/>
        <v>0</v>
      </c>
      <c r="X426" s="140">
        <v>0</v>
      </c>
      <c r="Y426" s="140">
        <f t="shared" si="106"/>
        <v>0</v>
      </c>
      <c r="Z426" s="146"/>
      <c r="AA426" s="155">
        <f t="shared" si="107"/>
        <v>0</v>
      </c>
      <c r="AB426" s="155">
        <f t="shared" si="102"/>
        <v>0</v>
      </c>
      <c r="AC426" s="149">
        <f t="shared" si="96"/>
        <v>0</v>
      </c>
      <c r="AJ426" s="206">
        <f t="shared" si="98"/>
        <v>0</v>
      </c>
    </row>
    <row r="427" spans="1:38" ht="15">
      <c r="A427" s="140">
        <v>10949</v>
      </c>
      <c r="B427" s="140">
        <v>401</v>
      </c>
      <c r="C427" s="146" t="s">
        <v>1178</v>
      </c>
      <c r="D427" s="147" t="s">
        <v>1177</v>
      </c>
      <c r="E427" s="152" t="s">
        <v>539</v>
      </c>
      <c r="F427" s="153">
        <v>1</v>
      </c>
      <c r="G427" s="146" t="s">
        <v>1272</v>
      </c>
      <c r="H427" s="140">
        <v>400</v>
      </c>
      <c r="I427" s="140" t="s">
        <v>376</v>
      </c>
      <c r="J427" s="140">
        <v>213</v>
      </c>
      <c r="K427" s="142">
        <v>181</v>
      </c>
      <c r="L427" s="142">
        <v>156</v>
      </c>
      <c r="M427" s="143">
        <v>200</v>
      </c>
      <c r="N427" s="144">
        <v>20</v>
      </c>
      <c r="O427" s="143">
        <f t="shared" si="101"/>
        <v>180</v>
      </c>
      <c r="P427" s="160">
        <v>85</v>
      </c>
      <c r="Q427" s="159">
        <f t="shared" si="99"/>
        <v>15300</v>
      </c>
      <c r="R427" s="140">
        <v>50</v>
      </c>
      <c r="S427" s="151">
        <f t="shared" si="103"/>
        <v>4250</v>
      </c>
      <c r="T427" s="140">
        <v>40</v>
      </c>
      <c r="U427" s="151">
        <f t="shared" si="104"/>
        <v>3400</v>
      </c>
      <c r="V427" s="140">
        <v>50</v>
      </c>
      <c r="W427" s="151">
        <f t="shared" si="105"/>
        <v>4250</v>
      </c>
      <c r="X427" s="140">
        <v>40</v>
      </c>
      <c r="Y427" s="151">
        <f t="shared" si="106"/>
        <v>3400</v>
      </c>
      <c r="Z427" s="146"/>
      <c r="AA427" s="155">
        <f t="shared" si="107"/>
        <v>180</v>
      </c>
      <c r="AB427" s="155">
        <f t="shared" si="102"/>
        <v>0</v>
      </c>
      <c r="AC427" s="149">
        <f t="shared" si="96"/>
        <v>45</v>
      </c>
      <c r="AD427" s="156">
        <f>Q427/4</f>
        <v>3825</v>
      </c>
      <c r="AG427" s="149">
        <v>130</v>
      </c>
      <c r="AH427" s="149">
        <v>11050</v>
      </c>
      <c r="AI427" s="150" t="s">
        <v>1356</v>
      </c>
      <c r="AJ427" s="206">
        <f t="shared" si="98"/>
        <v>156</v>
      </c>
      <c r="AL427" s="149">
        <f>AK427/H427</f>
        <v>0</v>
      </c>
    </row>
    <row r="428" spans="1:38" ht="15">
      <c r="A428" s="140">
        <v>10949</v>
      </c>
      <c r="B428" s="140">
        <v>402</v>
      </c>
      <c r="C428" s="146" t="s">
        <v>1174</v>
      </c>
      <c r="D428" s="147" t="s">
        <v>1173</v>
      </c>
      <c r="E428" s="187" t="s">
        <v>227</v>
      </c>
      <c r="F428" s="153">
        <v>1</v>
      </c>
      <c r="G428" s="154" t="s">
        <v>1271</v>
      </c>
      <c r="H428" s="140">
        <v>1</v>
      </c>
      <c r="I428" s="140" t="s">
        <v>1274</v>
      </c>
      <c r="J428" s="140">
        <v>637</v>
      </c>
      <c r="K428" s="142">
        <v>591</v>
      </c>
      <c r="L428" s="142">
        <v>501.59999999999997</v>
      </c>
      <c r="M428" s="143">
        <v>600</v>
      </c>
      <c r="N428" s="144">
        <v>100</v>
      </c>
      <c r="O428" s="143">
        <f t="shared" si="101"/>
        <v>500</v>
      </c>
      <c r="P428" s="140">
        <v>35</v>
      </c>
      <c r="Q428" s="159">
        <f t="shared" si="99"/>
        <v>17500</v>
      </c>
      <c r="R428" s="140">
        <v>150</v>
      </c>
      <c r="S428" s="151">
        <f t="shared" si="103"/>
        <v>5250</v>
      </c>
      <c r="T428" s="140">
        <v>100</v>
      </c>
      <c r="U428" s="151">
        <f t="shared" si="104"/>
        <v>3500</v>
      </c>
      <c r="V428" s="140">
        <v>150</v>
      </c>
      <c r="W428" s="151">
        <f t="shared" si="105"/>
        <v>5250</v>
      </c>
      <c r="X428" s="140">
        <v>100</v>
      </c>
      <c r="Y428" s="151">
        <f t="shared" si="106"/>
        <v>3500</v>
      </c>
      <c r="Z428" s="146"/>
      <c r="AA428" s="155">
        <f t="shared" si="107"/>
        <v>500</v>
      </c>
      <c r="AB428" s="155">
        <f t="shared" si="102"/>
        <v>0</v>
      </c>
      <c r="AC428" s="149">
        <f t="shared" si="96"/>
        <v>125</v>
      </c>
      <c r="AD428" s="156">
        <f>Q428/4</f>
        <v>4375</v>
      </c>
      <c r="AG428" s="149">
        <v>418</v>
      </c>
      <c r="AH428" s="149">
        <v>14630</v>
      </c>
      <c r="AI428" s="150" t="s">
        <v>1352</v>
      </c>
      <c r="AJ428" s="206">
        <f t="shared" si="98"/>
        <v>501.59999999999997</v>
      </c>
      <c r="AL428" s="149">
        <f>AK428/H428</f>
        <v>0</v>
      </c>
    </row>
    <row r="429" spans="1:38" ht="15">
      <c r="A429" s="140">
        <v>10949</v>
      </c>
      <c r="B429" s="140">
        <v>403</v>
      </c>
      <c r="C429" s="146" t="s">
        <v>1176</v>
      </c>
      <c r="D429" s="147" t="s">
        <v>1175</v>
      </c>
      <c r="E429" s="187" t="s">
        <v>228</v>
      </c>
      <c r="F429" s="153">
        <v>1</v>
      </c>
      <c r="G429" s="154" t="s">
        <v>1273</v>
      </c>
      <c r="H429" s="140">
        <v>1</v>
      </c>
      <c r="I429" s="140" t="s">
        <v>407</v>
      </c>
      <c r="J429" s="140">
        <v>1760</v>
      </c>
      <c r="K429" s="142">
        <v>1383</v>
      </c>
      <c r="L429" s="142">
        <v>1437.6</v>
      </c>
      <c r="M429" s="143">
        <v>1600</v>
      </c>
      <c r="N429" s="144">
        <v>200</v>
      </c>
      <c r="O429" s="143">
        <f t="shared" si="101"/>
        <v>1400</v>
      </c>
      <c r="P429" s="160">
        <v>65</v>
      </c>
      <c r="Q429" s="159">
        <f t="shared" si="99"/>
        <v>91000</v>
      </c>
      <c r="R429" s="140">
        <v>350</v>
      </c>
      <c r="S429" s="151">
        <f t="shared" si="103"/>
        <v>22750</v>
      </c>
      <c r="T429" s="140">
        <v>350</v>
      </c>
      <c r="U429" s="151">
        <f t="shared" si="104"/>
        <v>22750</v>
      </c>
      <c r="V429" s="140">
        <v>350</v>
      </c>
      <c r="W429" s="151">
        <f t="shared" si="105"/>
        <v>22750</v>
      </c>
      <c r="X429" s="140">
        <v>350</v>
      </c>
      <c r="Y429" s="151">
        <f t="shared" si="106"/>
        <v>22750</v>
      </c>
      <c r="Z429" s="146"/>
      <c r="AA429" s="155">
        <f t="shared" si="107"/>
        <v>1400</v>
      </c>
      <c r="AB429" s="155">
        <f t="shared" si="102"/>
        <v>0</v>
      </c>
      <c r="AC429" s="149">
        <f t="shared" si="96"/>
        <v>350</v>
      </c>
      <c r="AD429" s="156">
        <f>Q429/4</f>
        <v>22750</v>
      </c>
      <c r="AG429" s="149">
        <v>1198</v>
      </c>
      <c r="AH429" s="149">
        <v>77870</v>
      </c>
      <c r="AI429" s="150" t="s">
        <v>1358</v>
      </c>
      <c r="AJ429" s="206">
        <f t="shared" si="98"/>
        <v>1437.6</v>
      </c>
      <c r="AL429" s="149">
        <f>AK429/H429</f>
        <v>0</v>
      </c>
    </row>
    <row r="430" spans="1:38" ht="15">
      <c r="A430" s="130" t="s">
        <v>1199</v>
      </c>
      <c r="B430" s="130" t="s">
        <v>2</v>
      </c>
      <c r="C430" s="130" t="s">
        <v>1200</v>
      </c>
      <c r="D430" s="198" t="s">
        <v>1201</v>
      </c>
      <c r="E430" s="134" t="s">
        <v>1285</v>
      </c>
      <c r="F430" s="134" t="s">
        <v>1295</v>
      </c>
      <c r="G430" s="134" t="s">
        <v>1202</v>
      </c>
      <c r="H430" s="130" t="s">
        <v>1579</v>
      </c>
      <c r="I430" s="130" t="s">
        <v>1203</v>
      </c>
      <c r="J430" s="199"/>
      <c r="K430" s="131" t="s">
        <v>1205</v>
      </c>
      <c r="L430" s="132"/>
      <c r="M430" s="133" t="s">
        <v>0</v>
      </c>
      <c r="N430" s="134" t="s">
        <v>1214</v>
      </c>
      <c r="O430" s="133" t="s">
        <v>0</v>
      </c>
      <c r="P430" s="130" t="s">
        <v>1390</v>
      </c>
      <c r="Q430" s="200" t="s">
        <v>1206</v>
      </c>
      <c r="R430" s="201" t="s">
        <v>1289</v>
      </c>
      <c r="S430" s="132"/>
      <c r="T430" s="201" t="s">
        <v>1290</v>
      </c>
      <c r="U430" s="202"/>
      <c r="V430" s="201" t="s">
        <v>1291</v>
      </c>
      <c r="W430" s="132"/>
      <c r="X430" s="201" t="s">
        <v>1292</v>
      </c>
      <c r="Y430" s="202"/>
      <c r="Z430" s="203" t="s">
        <v>608</v>
      </c>
      <c r="AA430" s="204"/>
      <c r="AB430" s="204"/>
      <c r="AC430" s="149" t="s">
        <v>1318</v>
      </c>
      <c r="AD430" s="149" t="s">
        <v>1389</v>
      </c>
      <c r="AE430" s="205" t="s">
        <v>3</v>
      </c>
      <c r="AF430" s="205" t="s">
        <v>1349</v>
      </c>
      <c r="AG430" s="149" t="s">
        <v>1297</v>
      </c>
      <c r="AH430" s="149" t="s">
        <v>6</v>
      </c>
      <c r="AI430" s="150" t="s">
        <v>1307</v>
      </c>
      <c r="AJ430" s="206" t="s">
        <v>1303</v>
      </c>
      <c r="AK430" s="149" t="s">
        <v>4</v>
      </c>
      <c r="AL430" s="149" t="s">
        <v>1304</v>
      </c>
    </row>
    <row r="431" spans="1:35" ht="15">
      <c r="A431" s="135"/>
      <c r="B431" s="139"/>
      <c r="C431" s="207"/>
      <c r="D431" s="208"/>
      <c r="E431" s="136"/>
      <c r="F431" s="136" t="s">
        <v>1294</v>
      </c>
      <c r="G431" s="136"/>
      <c r="H431" s="139" t="s">
        <v>1204</v>
      </c>
      <c r="I431" s="136" t="s">
        <v>1204</v>
      </c>
      <c r="J431" s="136">
        <v>2562</v>
      </c>
      <c r="K431" s="136">
        <v>2563</v>
      </c>
      <c r="L431" s="137">
        <v>2564</v>
      </c>
      <c r="M431" s="138" t="s">
        <v>1537</v>
      </c>
      <c r="N431" s="136" t="s">
        <v>4</v>
      </c>
      <c r="O431" s="138" t="s">
        <v>1538</v>
      </c>
      <c r="P431" s="139" t="s">
        <v>1286</v>
      </c>
      <c r="Q431" s="209" t="s">
        <v>1391</v>
      </c>
      <c r="R431" s="210" t="s">
        <v>5</v>
      </c>
      <c r="S431" s="139" t="s">
        <v>1208</v>
      </c>
      <c r="T431" s="139" t="s">
        <v>5</v>
      </c>
      <c r="U431" s="211" t="s">
        <v>1208</v>
      </c>
      <c r="V431" s="210" t="s">
        <v>5</v>
      </c>
      <c r="W431" s="139" t="s">
        <v>1208</v>
      </c>
      <c r="X431" s="139" t="s">
        <v>5</v>
      </c>
      <c r="Y431" s="211" t="s">
        <v>1208</v>
      </c>
      <c r="Z431" s="207"/>
      <c r="AA431" s="197"/>
      <c r="AB431" s="197"/>
      <c r="AG431" s="149" t="s">
        <v>1494</v>
      </c>
      <c r="AH431" s="149" t="s">
        <v>1207</v>
      </c>
      <c r="AI431" s="150" t="s">
        <v>1308</v>
      </c>
    </row>
    <row r="432" spans="1:36" ht="15">
      <c r="A432" s="140">
        <v>10949</v>
      </c>
      <c r="B432" s="140">
        <v>404</v>
      </c>
      <c r="C432" s="212">
        <v>108128</v>
      </c>
      <c r="D432" s="147" t="s">
        <v>1283</v>
      </c>
      <c r="E432" s="187" t="s">
        <v>1312</v>
      </c>
      <c r="F432" s="153">
        <v>2</v>
      </c>
      <c r="G432" s="224" t="s">
        <v>1320</v>
      </c>
      <c r="H432" s="140">
        <v>1</v>
      </c>
      <c r="I432" s="140" t="s">
        <v>554</v>
      </c>
      <c r="J432" s="140">
        <v>0</v>
      </c>
      <c r="K432" s="142"/>
      <c r="L432" s="142">
        <v>0</v>
      </c>
      <c r="M432" s="143">
        <v>0</v>
      </c>
      <c r="N432" s="144">
        <v>0</v>
      </c>
      <c r="O432" s="143">
        <f t="shared" si="101"/>
        <v>0</v>
      </c>
      <c r="P432" s="140">
        <v>125</v>
      </c>
      <c r="Q432" s="159">
        <f t="shared" si="99"/>
        <v>0</v>
      </c>
      <c r="R432" s="140">
        <v>0</v>
      </c>
      <c r="S432" s="151">
        <f t="shared" si="103"/>
        <v>0</v>
      </c>
      <c r="T432" s="140">
        <v>0</v>
      </c>
      <c r="U432" s="151">
        <f t="shared" si="104"/>
        <v>0</v>
      </c>
      <c r="V432" s="140">
        <v>0</v>
      </c>
      <c r="W432" s="151">
        <f t="shared" si="105"/>
        <v>0</v>
      </c>
      <c r="X432" s="140">
        <v>0</v>
      </c>
      <c r="Y432" s="151">
        <f t="shared" si="106"/>
        <v>0</v>
      </c>
      <c r="Z432" s="146"/>
      <c r="AA432" s="155">
        <f t="shared" si="107"/>
        <v>0</v>
      </c>
      <c r="AB432" s="155">
        <f t="shared" si="102"/>
        <v>0</v>
      </c>
      <c r="AC432" s="149">
        <f t="shared" si="96"/>
        <v>0</v>
      </c>
      <c r="AD432" s="156">
        <f>Q432/4</f>
        <v>0</v>
      </c>
      <c r="AJ432" s="206">
        <f t="shared" si="98"/>
        <v>0</v>
      </c>
    </row>
    <row r="433" spans="1:36" ht="15">
      <c r="A433" s="140">
        <v>10949</v>
      </c>
      <c r="B433" s="140">
        <v>405</v>
      </c>
      <c r="C433" s="212">
        <v>108185</v>
      </c>
      <c r="D433" s="147" t="s">
        <v>1336</v>
      </c>
      <c r="E433" s="187" t="s">
        <v>1436</v>
      </c>
      <c r="F433" s="153">
        <v>2</v>
      </c>
      <c r="G433" s="146" t="s">
        <v>1252</v>
      </c>
      <c r="H433" s="140">
        <v>30</v>
      </c>
      <c r="I433" s="140" t="s">
        <v>376</v>
      </c>
      <c r="J433" s="140">
        <v>0</v>
      </c>
      <c r="K433" s="140">
        <v>0</v>
      </c>
      <c r="L433" s="142">
        <v>0</v>
      </c>
      <c r="M433" s="143">
        <v>0</v>
      </c>
      <c r="N433" s="140">
        <v>0</v>
      </c>
      <c r="O433" s="143">
        <f t="shared" si="101"/>
        <v>0</v>
      </c>
      <c r="P433" s="140">
        <v>90</v>
      </c>
      <c r="Q433" s="159">
        <f t="shared" si="99"/>
        <v>0</v>
      </c>
      <c r="R433" s="140">
        <v>0</v>
      </c>
      <c r="S433" s="140">
        <f t="shared" si="103"/>
        <v>0</v>
      </c>
      <c r="T433" s="140">
        <v>0</v>
      </c>
      <c r="U433" s="140">
        <f t="shared" si="104"/>
        <v>0</v>
      </c>
      <c r="V433" s="140">
        <v>0</v>
      </c>
      <c r="W433" s="140">
        <f t="shared" si="105"/>
        <v>0</v>
      </c>
      <c r="X433" s="140">
        <v>0</v>
      </c>
      <c r="Y433" s="140">
        <f t="shared" si="106"/>
        <v>0</v>
      </c>
      <c r="Z433" s="146"/>
      <c r="AA433" s="155">
        <f t="shared" si="107"/>
        <v>0</v>
      </c>
      <c r="AB433" s="155">
        <f t="shared" si="102"/>
        <v>0</v>
      </c>
      <c r="AC433" s="149">
        <f t="shared" si="96"/>
        <v>0</v>
      </c>
      <c r="AJ433" s="206">
        <f t="shared" si="98"/>
        <v>0</v>
      </c>
    </row>
    <row r="434" spans="1:36" ht="15">
      <c r="A434" s="140">
        <v>10949</v>
      </c>
      <c r="B434" s="140">
        <v>406</v>
      </c>
      <c r="C434" s="212">
        <v>108279</v>
      </c>
      <c r="D434" s="147" t="s">
        <v>1284</v>
      </c>
      <c r="E434" s="187" t="s">
        <v>1313</v>
      </c>
      <c r="F434" s="153">
        <v>2</v>
      </c>
      <c r="G434" s="224" t="s">
        <v>1320</v>
      </c>
      <c r="H434" s="140">
        <v>1</v>
      </c>
      <c r="I434" s="140" t="s">
        <v>554</v>
      </c>
      <c r="J434" s="140">
        <v>0</v>
      </c>
      <c r="K434" s="142"/>
      <c r="L434" s="142">
        <v>0</v>
      </c>
      <c r="M434" s="143">
        <v>0</v>
      </c>
      <c r="N434" s="144">
        <v>0</v>
      </c>
      <c r="O434" s="143">
        <f t="shared" si="101"/>
        <v>0</v>
      </c>
      <c r="P434" s="140">
        <v>120</v>
      </c>
      <c r="Q434" s="159">
        <f t="shared" si="99"/>
        <v>0</v>
      </c>
      <c r="R434" s="140">
        <v>0</v>
      </c>
      <c r="S434" s="151">
        <f t="shared" si="103"/>
        <v>0</v>
      </c>
      <c r="T434" s="140">
        <v>0</v>
      </c>
      <c r="U434" s="151">
        <f t="shared" si="104"/>
        <v>0</v>
      </c>
      <c r="V434" s="140">
        <v>0</v>
      </c>
      <c r="W434" s="151">
        <f t="shared" si="105"/>
        <v>0</v>
      </c>
      <c r="X434" s="140">
        <v>0</v>
      </c>
      <c r="Y434" s="151">
        <f t="shared" si="106"/>
        <v>0</v>
      </c>
      <c r="Z434" s="146"/>
      <c r="AA434" s="155">
        <f t="shared" si="107"/>
        <v>0</v>
      </c>
      <c r="AB434" s="155">
        <f t="shared" si="102"/>
        <v>0</v>
      </c>
      <c r="AC434" s="149">
        <f t="shared" si="96"/>
        <v>0</v>
      </c>
      <c r="AD434" s="156">
        <f>Q434/4</f>
        <v>0</v>
      </c>
      <c r="AJ434" s="206">
        <f t="shared" si="98"/>
        <v>0</v>
      </c>
    </row>
    <row r="435" spans="1:36" ht="15">
      <c r="A435" s="140">
        <v>10949</v>
      </c>
      <c r="B435" s="140">
        <v>407</v>
      </c>
      <c r="C435" s="146" t="s">
        <v>1180</v>
      </c>
      <c r="D435" s="147" t="s">
        <v>1179</v>
      </c>
      <c r="E435" s="146" t="s">
        <v>1314</v>
      </c>
      <c r="F435" s="153">
        <v>2</v>
      </c>
      <c r="G435" s="224" t="s">
        <v>1320</v>
      </c>
      <c r="H435" s="140">
        <v>1</v>
      </c>
      <c r="I435" s="140" t="s">
        <v>554</v>
      </c>
      <c r="J435" s="140">
        <v>0</v>
      </c>
      <c r="K435" s="142"/>
      <c r="L435" s="142">
        <v>0</v>
      </c>
      <c r="M435" s="143">
        <v>0</v>
      </c>
      <c r="N435" s="144">
        <v>0</v>
      </c>
      <c r="O435" s="143">
        <f t="shared" si="101"/>
        <v>0</v>
      </c>
      <c r="P435" s="160">
        <v>125</v>
      </c>
      <c r="Q435" s="159">
        <f t="shared" si="99"/>
        <v>0</v>
      </c>
      <c r="R435" s="140">
        <v>0</v>
      </c>
      <c r="S435" s="151">
        <f>R435*P435</f>
        <v>0</v>
      </c>
      <c r="T435" s="140">
        <v>0</v>
      </c>
      <c r="U435" s="151">
        <f t="shared" si="104"/>
        <v>0</v>
      </c>
      <c r="V435" s="140">
        <v>0</v>
      </c>
      <c r="W435" s="151">
        <f t="shared" si="105"/>
        <v>0</v>
      </c>
      <c r="X435" s="140">
        <v>0</v>
      </c>
      <c r="Y435" s="151">
        <f t="shared" si="106"/>
        <v>0</v>
      </c>
      <c r="Z435" s="146"/>
      <c r="AA435" s="155">
        <f t="shared" si="107"/>
        <v>0</v>
      </c>
      <c r="AB435" s="155">
        <f t="shared" si="102"/>
        <v>0</v>
      </c>
      <c r="AC435" s="149">
        <f t="shared" si="96"/>
        <v>0</v>
      </c>
      <c r="AD435" s="156">
        <f>Q435/4</f>
        <v>0</v>
      </c>
      <c r="AJ435" s="206">
        <f t="shared" si="98"/>
        <v>0</v>
      </c>
    </row>
    <row r="436" spans="1:36" ht="15">
      <c r="A436" s="140">
        <v>10949</v>
      </c>
      <c r="B436" s="140">
        <v>408</v>
      </c>
      <c r="C436" s="146"/>
      <c r="D436" s="147"/>
      <c r="E436" s="187" t="s">
        <v>1465</v>
      </c>
      <c r="F436" s="153">
        <v>2</v>
      </c>
      <c r="G436" s="187" t="s">
        <v>1257</v>
      </c>
      <c r="H436" s="140">
        <v>60</v>
      </c>
      <c r="I436" s="140" t="s">
        <v>1250</v>
      </c>
      <c r="J436" s="140">
        <v>0</v>
      </c>
      <c r="K436" s="142">
        <v>20</v>
      </c>
      <c r="L436" s="142">
        <v>180</v>
      </c>
      <c r="M436" s="143">
        <v>200</v>
      </c>
      <c r="N436" s="144">
        <v>0</v>
      </c>
      <c r="O436" s="143">
        <f>M436-N436</f>
        <v>200</v>
      </c>
      <c r="P436" s="159">
        <v>45</v>
      </c>
      <c r="Q436" s="159">
        <f>P436*O436</f>
        <v>9000</v>
      </c>
      <c r="R436" s="140">
        <v>50</v>
      </c>
      <c r="S436" s="151">
        <f>R436*P436</f>
        <v>2250</v>
      </c>
      <c r="T436" s="142">
        <v>50</v>
      </c>
      <c r="U436" s="151">
        <f>T436*P436</f>
        <v>2250</v>
      </c>
      <c r="V436" s="140">
        <v>50</v>
      </c>
      <c r="W436" s="151">
        <f>V436*P436</f>
        <v>2250</v>
      </c>
      <c r="X436" s="142">
        <v>50</v>
      </c>
      <c r="Y436" s="151">
        <f>X436*P436</f>
        <v>2250</v>
      </c>
      <c r="Z436" s="146"/>
      <c r="AA436" s="155">
        <f>R436+T436+V436+X436</f>
        <v>200</v>
      </c>
      <c r="AB436" s="155">
        <f>O436-AA436</f>
        <v>0</v>
      </c>
      <c r="AC436" s="149">
        <f>O436/4</f>
        <v>50</v>
      </c>
      <c r="AD436" s="156"/>
      <c r="AG436" s="149">
        <v>150</v>
      </c>
      <c r="AH436" s="149">
        <v>6750</v>
      </c>
      <c r="AJ436" s="206">
        <f>AG436/10*12</f>
        <v>180</v>
      </c>
    </row>
    <row r="437" spans="1:36" ht="15">
      <c r="A437" s="149">
        <v>10949</v>
      </c>
      <c r="B437" s="140">
        <v>409</v>
      </c>
      <c r="E437" s="187" t="s">
        <v>1576</v>
      </c>
      <c r="F437" s="153">
        <v>2</v>
      </c>
      <c r="G437" s="146" t="s">
        <v>1320</v>
      </c>
      <c r="H437" s="140">
        <v>1</v>
      </c>
      <c r="I437" s="140" t="s">
        <v>554</v>
      </c>
      <c r="J437" s="140">
        <v>0</v>
      </c>
      <c r="K437" s="140">
        <v>0</v>
      </c>
      <c r="L437" s="142">
        <v>0</v>
      </c>
      <c r="M437" s="143">
        <v>50</v>
      </c>
      <c r="N437" s="140">
        <v>0</v>
      </c>
      <c r="O437" s="143">
        <f>M437-N437</f>
        <v>50</v>
      </c>
      <c r="P437" s="140">
        <v>20</v>
      </c>
      <c r="Q437" s="159">
        <f>P437*O437</f>
        <v>1000</v>
      </c>
      <c r="R437" s="140">
        <v>20</v>
      </c>
      <c r="S437" s="140">
        <f>R437*P437</f>
        <v>400</v>
      </c>
      <c r="T437" s="140">
        <v>10</v>
      </c>
      <c r="U437" s="140">
        <f>T437*P437</f>
        <v>200</v>
      </c>
      <c r="V437" s="140">
        <v>10</v>
      </c>
      <c r="W437" s="140">
        <f>V437*P437</f>
        <v>200</v>
      </c>
      <c r="X437" s="140">
        <v>10</v>
      </c>
      <c r="Y437" s="140">
        <f>X437*P437</f>
        <v>200</v>
      </c>
      <c r="Z437" s="146"/>
      <c r="AA437" s="155">
        <f>R437+T437+V437+X437</f>
        <v>50</v>
      </c>
      <c r="AB437" s="155">
        <f>O437-AA437</f>
        <v>0</v>
      </c>
      <c r="AC437" s="149">
        <f>O437/4</f>
        <v>12.5</v>
      </c>
      <c r="AG437" s="149">
        <v>270</v>
      </c>
      <c r="AH437" s="149">
        <v>7312.38</v>
      </c>
      <c r="AJ437" s="206">
        <f>AG437/10*12</f>
        <v>324</v>
      </c>
    </row>
    <row r="438" spans="1:38" ht="15">
      <c r="A438" s="140">
        <v>10949</v>
      </c>
      <c r="B438" s="140">
        <v>410</v>
      </c>
      <c r="C438" s="146">
        <v>846568</v>
      </c>
      <c r="D438" s="147" t="s">
        <v>1181</v>
      </c>
      <c r="E438" s="187" t="s">
        <v>229</v>
      </c>
      <c r="F438" s="153">
        <v>1</v>
      </c>
      <c r="G438" s="154" t="s">
        <v>1271</v>
      </c>
      <c r="H438" s="140">
        <v>20</v>
      </c>
      <c r="I438" s="140" t="s">
        <v>406</v>
      </c>
      <c r="J438" s="140">
        <v>182</v>
      </c>
      <c r="K438" s="142">
        <v>176</v>
      </c>
      <c r="L438" s="142">
        <v>270</v>
      </c>
      <c r="M438" s="143">
        <v>280</v>
      </c>
      <c r="N438" s="144">
        <v>40</v>
      </c>
      <c r="O438" s="143">
        <f t="shared" si="101"/>
        <v>240</v>
      </c>
      <c r="P438" s="140">
        <v>35</v>
      </c>
      <c r="Q438" s="159">
        <f t="shared" si="99"/>
        <v>8400</v>
      </c>
      <c r="R438" s="140">
        <v>60</v>
      </c>
      <c r="S438" s="151">
        <f t="shared" si="103"/>
        <v>2100</v>
      </c>
      <c r="T438" s="140">
        <v>60</v>
      </c>
      <c r="U438" s="151">
        <f t="shared" si="104"/>
        <v>2100</v>
      </c>
      <c r="V438" s="140">
        <v>60</v>
      </c>
      <c r="W438" s="151">
        <f t="shared" si="105"/>
        <v>2100</v>
      </c>
      <c r="X438" s="140">
        <v>60</v>
      </c>
      <c r="Y438" s="151">
        <f t="shared" si="106"/>
        <v>2100</v>
      </c>
      <c r="Z438" s="146"/>
      <c r="AA438" s="155">
        <f t="shared" si="107"/>
        <v>240</v>
      </c>
      <c r="AB438" s="155">
        <f t="shared" si="102"/>
        <v>0</v>
      </c>
      <c r="AC438" s="149">
        <f t="shared" si="96"/>
        <v>60</v>
      </c>
      <c r="AD438" s="156">
        <f>Q438/4</f>
        <v>2100</v>
      </c>
      <c r="AG438" s="149">
        <v>225</v>
      </c>
      <c r="AH438" s="149">
        <v>7875</v>
      </c>
      <c r="AI438" s="150" t="s">
        <v>1352</v>
      </c>
      <c r="AJ438" s="206">
        <f t="shared" si="98"/>
        <v>270</v>
      </c>
      <c r="AL438" s="149">
        <f>AK438/H438</f>
        <v>0</v>
      </c>
    </row>
    <row r="439" spans="5:36" ht="15">
      <c r="E439" s="197"/>
      <c r="F439" s="197"/>
      <c r="G439" s="197"/>
      <c r="H439" s="157"/>
      <c r="I439" s="157"/>
      <c r="J439" s="157"/>
      <c r="K439" s="157"/>
      <c r="L439" s="179"/>
      <c r="M439" s="180"/>
      <c r="N439" s="157"/>
      <c r="O439" s="183" t="s">
        <v>1392</v>
      </c>
      <c r="Q439" s="227">
        <f>SUM(Q3:Q438)</f>
        <v>13237218.214790525</v>
      </c>
      <c r="R439" s="140"/>
      <c r="S439" s="227">
        <f>SUM(S3:S438)</f>
        <v>3251673.282032632</v>
      </c>
      <c r="T439" s="227"/>
      <c r="U439" s="227">
        <f>SUM(U3:U438)</f>
        <v>3344869.0889192983</v>
      </c>
      <c r="V439" s="227"/>
      <c r="W439" s="227">
        <f>SUM(W3:W438)</f>
        <v>3368293.8869192977</v>
      </c>
      <c r="X439" s="227"/>
      <c r="Y439" s="227">
        <f>SUM(Y3:Y438)</f>
        <v>3272381.9569192976</v>
      </c>
      <c r="Z439" s="146"/>
      <c r="AA439" s="155"/>
      <c r="AB439" s="155"/>
      <c r="AG439" s="149">
        <v>17</v>
      </c>
      <c r="AH439" s="149">
        <v>1105</v>
      </c>
      <c r="AJ439" s="206">
        <f t="shared" si="98"/>
        <v>20.4</v>
      </c>
    </row>
    <row r="440" spans="17:26" ht="15">
      <c r="Q440" s="228"/>
      <c r="R440" s="157"/>
      <c r="S440" s="157"/>
      <c r="T440" s="157"/>
      <c r="U440" s="157"/>
      <c r="V440" s="157"/>
      <c r="W440" s="157"/>
      <c r="X440" s="157"/>
      <c r="Y440" s="157"/>
      <c r="Z440" s="197"/>
    </row>
    <row r="441" spans="17:26" ht="15">
      <c r="Q441" s="228"/>
      <c r="R441" s="157"/>
      <c r="S441" s="157"/>
      <c r="T441" s="157"/>
      <c r="U441" s="157"/>
      <c r="V441" s="157"/>
      <c r="W441" s="157"/>
      <c r="X441" s="157"/>
      <c r="Y441" s="157"/>
      <c r="Z441" s="197"/>
    </row>
    <row r="442" spans="17:26" ht="15">
      <c r="Q442" s="228"/>
      <c r="R442" s="157"/>
      <c r="S442" s="157"/>
      <c r="T442" s="157"/>
      <c r="U442" s="157"/>
      <c r="V442" s="157"/>
      <c r="W442" s="157"/>
      <c r="X442" s="157"/>
      <c r="Y442" s="157"/>
      <c r="Z442" s="197"/>
    </row>
    <row r="443" spans="17:26" ht="15">
      <c r="Q443" s="228"/>
      <c r="R443" s="157"/>
      <c r="S443" s="157"/>
      <c r="T443" s="157"/>
      <c r="U443" s="157"/>
      <c r="V443" s="157"/>
      <c r="W443" s="157"/>
      <c r="X443" s="157"/>
      <c r="Y443" s="157"/>
      <c r="Z443" s="197"/>
    </row>
    <row r="444" spans="17:26" ht="15" hidden="1">
      <c r="Q444" s="228"/>
      <c r="R444" s="157"/>
      <c r="S444" s="157"/>
      <c r="T444" s="157"/>
      <c r="U444" s="157"/>
      <c r="V444" s="157"/>
      <c r="W444" s="157"/>
      <c r="X444" s="157"/>
      <c r="Y444" s="157"/>
      <c r="Z444" s="197"/>
    </row>
    <row r="445" spans="17:26" ht="15" hidden="1">
      <c r="Q445" s="228"/>
      <c r="R445" s="157"/>
      <c r="S445" s="157"/>
      <c r="T445" s="157"/>
      <c r="U445" s="157"/>
      <c r="V445" s="157"/>
      <c r="W445" s="157"/>
      <c r="X445" s="157"/>
      <c r="Y445" s="157"/>
      <c r="Z445" s="197"/>
    </row>
    <row r="446" spans="17:26" ht="15" hidden="1">
      <c r="Q446" s="228"/>
      <c r="R446" s="157"/>
      <c r="S446" s="157"/>
      <c r="T446" s="157"/>
      <c r="U446" s="157"/>
      <c r="V446" s="157"/>
      <c r="W446" s="157"/>
      <c r="X446" s="157"/>
      <c r="Y446" s="157"/>
      <c r="Z446" s="197"/>
    </row>
    <row r="447" spans="17:26" ht="15">
      <c r="Q447" s="184"/>
      <c r="R447" s="157"/>
      <c r="S447" s="157"/>
      <c r="T447" s="157"/>
      <c r="U447" s="157"/>
      <c r="V447" s="157"/>
      <c r="W447" s="157"/>
      <c r="X447" s="157"/>
      <c r="Y447" s="157"/>
      <c r="Z447" s="197"/>
    </row>
    <row r="448" spans="6:26" ht="21.75">
      <c r="F448" s="231"/>
      <c r="G448" s="231"/>
      <c r="H448" s="125"/>
      <c r="I448" s="125"/>
      <c r="J448" s="125"/>
      <c r="K448" s="125"/>
      <c r="L448" s="125"/>
      <c r="M448" s="129"/>
      <c r="N448" s="125"/>
      <c r="O448" s="129"/>
      <c r="P448" s="125"/>
      <c r="Q448" s="232"/>
      <c r="R448" s="128"/>
      <c r="S448" s="128"/>
      <c r="T448" s="128"/>
      <c r="U448" s="128"/>
      <c r="V448" s="128"/>
      <c r="W448" s="128"/>
      <c r="X448" s="128"/>
      <c r="Y448" s="128"/>
      <c r="Z448" s="197"/>
    </row>
    <row r="449" spans="6:26" ht="21.75">
      <c r="F449" s="231"/>
      <c r="G449" s="231"/>
      <c r="H449" s="125" t="s">
        <v>1577</v>
      </c>
      <c r="I449" s="231"/>
      <c r="J449" s="231"/>
      <c r="K449" s="125"/>
      <c r="L449" s="125"/>
      <c r="M449" s="125"/>
      <c r="N449" s="125" t="s">
        <v>1393</v>
      </c>
      <c r="O449" s="125"/>
      <c r="P449" s="231"/>
      <c r="Q449" s="232"/>
      <c r="R449" s="128" t="s">
        <v>1394</v>
      </c>
      <c r="S449" s="128"/>
      <c r="T449" s="231"/>
      <c r="U449" s="231"/>
      <c r="V449" s="128"/>
      <c r="W449" s="128" t="s">
        <v>1451</v>
      </c>
      <c r="X449" s="128"/>
      <c r="Y449" s="125"/>
      <c r="Z449" s="197"/>
    </row>
    <row r="450" spans="6:26" ht="21.75">
      <c r="F450" s="231"/>
      <c r="G450" s="231"/>
      <c r="H450" s="125" t="s">
        <v>1578</v>
      </c>
      <c r="I450" s="231"/>
      <c r="J450" s="231"/>
      <c r="K450" s="125"/>
      <c r="L450" s="125"/>
      <c r="M450" s="125"/>
      <c r="N450" s="125" t="s">
        <v>1395</v>
      </c>
      <c r="O450" s="125"/>
      <c r="P450" s="231"/>
      <c r="Q450" s="232"/>
      <c r="R450" s="128" t="s">
        <v>1396</v>
      </c>
      <c r="S450" s="128"/>
      <c r="T450" s="231"/>
      <c r="U450" s="231"/>
      <c r="V450" s="128"/>
      <c r="W450" s="128" t="s">
        <v>1397</v>
      </c>
      <c r="X450" s="128"/>
      <c r="Y450" s="125"/>
      <c r="Z450" s="197"/>
    </row>
    <row r="451" spans="6:26" ht="21.75">
      <c r="F451" s="231"/>
      <c r="G451" s="231"/>
      <c r="H451" s="125" t="s">
        <v>1580</v>
      </c>
      <c r="I451" s="231"/>
      <c r="J451" s="231"/>
      <c r="K451" s="125"/>
      <c r="L451" s="125"/>
      <c r="M451" s="125"/>
      <c r="N451" s="125" t="s">
        <v>1581</v>
      </c>
      <c r="O451" s="125"/>
      <c r="P451" s="231"/>
      <c r="Q451" s="232"/>
      <c r="R451" s="128" t="s">
        <v>1398</v>
      </c>
      <c r="S451" s="128"/>
      <c r="T451" s="231"/>
      <c r="U451" s="231"/>
      <c r="V451" s="128"/>
      <c r="W451" s="128" t="s">
        <v>1399</v>
      </c>
      <c r="X451" s="128"/>
      <c r="Y451" s="125"/>
      <c r="Z451" s="197"/>
    </row>
    <row r="452" spans="17:26" ht="15">
      <c r="Q452" s="184"/>
      <c r="R452" s="157"/>
      <c r="S452" s="157"/>
      <c r="T452" s="157"/>
      <c r="U452" s="157"/>
      <c r="V452" s="157"/>
      <c r="W452" s="157"/>
      <c r="X452" s="157"/>
      <c r="Y452" s="157"/>
      <c r="Z452" s="197"/>
    </row>
    <row r="453" spans="17:26" ht="15">
      <c r="Q453" s="184"/>
      <c r="R453" s="157"/>
      <c r="S453" s="157"/>
      <c r="T453" s="157"/>
      <c r="U453" s="157"/>
      <c r="V453" s="157"/>
      <c r="W453" s="157"/>
      <c r="X453" s="157"/>
      <c r="Y453" s="157"/>
      <c r="Z453" s="197"/>
    </row>
    <row r="454" spans="1:38" ht="15" hidden="1">
      <c r="A454" s="140">
        <v>10949</v>
      </c>
      <c r="B454" s="140">
        <v>28</v>
      </c>
      <c r="C454" s="146" t="s">
        <v>651</v>
      </c>
      <c r="D454" s="147" t="s">
        <v>650</v>
      </c>
      <c r="E454" s="152" t="s">
        <v>487</v>
      </c>
      <c r="F454" s="153">
        <v>1</v>
      </c>
      <c r="G454" s="146" t="s">
        <v>1245</v>
      </c>
      <c r="H454" s="140">
        <v>12</v>
      </c>
      <c r="I454" s="140" t="s">
        <v>376</v>
      </c>
      <c r="J454" s="140">
        <v>0</v>
      </c>
      <c r="K454" s="142">
        <v>0</v>
      </c>
      <c r="L454" s="142">
        <v>0</v>
      </c>
      <c r="M454" s="143">
        <v>0</v>
      </c>
      <c r="N454" s="144">
        <v>0</v>
      </c>
      <c r="O454" s="143">
        <f aca="true" t="shared" si="108" ref="O454:O462">M454-N454</f>
        <v>0</v>
      </c>
      <c r="P454" s="159">
        <v>165</v>
      </c>
      <c r="Q454" s="159">
        <f aca="true" t="shared" si="109" ref="Q454:Q474">P454*O454</f>
        <v>0</v>
      </c>
      <c r="R454" s="140">
        <v>0</v>
      </c>
      <c r="S454" s="151">
        <f aca="true" t="shared" si="110" ref="S454:S459">R454*P454</f>
        <v>0</v>
      </c>
      <c r="T454" s="142">
        <v>0</v>
      </c>
      <c r="U454" s="151">
        <f aca="true" t="shared" si="111" ref="U454:U459">T454*P454</f>
        <v>0</v>
      </c>
      <c r="V454" s="140">
        <v>0</v>
      </c>
      <c r="W454" s="151">
        <f aca="true" t="shared" si="112" ref="W454:W459">V454*P454</f>
        <v>0</v>
      </c>
      <c r="X454" s="142">
        <v>0</v>
      </c>
      <c r="Y454" s="151">
        <f aca="true" t="shared" si="113" ref="Y454:Y459">X454*P454</f>
        <v>0</v>
      </c>
      <c r="Z454" s="146"/>
      <c r="AA454" s="155">
        <f aca="true" t="shared" si="114" ref="AA454:AA474">R454+T454+V454+X454</f>
        <v>0</v>
      </c>
      <c r="AB454" s="155">
        <f aca="true" t="shared" si="115" ref="AB454:AB474">O454-AA454</f>
        <v>0</v>
      </c>
      <c r="AC454" s="149">
        <f aca="true" t="shared" si="116" ref="AC454:AC474">O454/4</f>
        <v>0</v>
      </c>
      <c r="AD454" s="156">
        <f>Q454/4</f>
        <v>0</v>
      </c>
      <c r="AI454" s="150" t="s">
        <v>1352</v>
      </c>
      <c r="AJ454" s="206">
        <f aca="true" t="shared" si="117" ref="AJ454:AJ474">AG454/10*12</f>
        <v>0</v>
      </c>
      <c r="AL454" s="149">
        <f aca="true" t="shared" si="118" ref="AL454:AL459">AK454/H454</f>
        <v>0</v>
      </c>
    </row>
    <row r="455" spans="1:38" ht="15" hidden="1">
      <c r="A455" s="140">
        <v>10949</v>
      </c>
      <c r="B455" s="140">
        <v>29</v>
      </c>
      <c r="C455" s="146" t="s">
        <v>653</v>
      </c>
      <c r="D455" s="147" t="s">
        <v>652</v>
      </c>
      <c r="E455" s="152" t="s">
        <v>488</v>
      </c>
      <c r="F455" s="153">
        <v>1</v>
      </c>
      <c r="G455" s="146" t="s">
        <v>1248</v>
      </c>
      <c r="H455" s="140">
        <v>1</v>
      </c>
      <c r="I455" s="140" t="s">
        <v>486</v>
      </c>
      <c r="J455" s="140">
        <v>0</v>
      </c>
      <c r="K455" s="142">
        <v>0</v>
      </c>
      <c r="L455" s="142">
        <v>0</v>
      </c>
      <c r="M455" s="143">
        <v>0</v>
      </c>
      <c r="N455" s="144">
        <v>0</v>
      </c>
      <c r="O455" s="143">
        <f t="shared" si="108"/>
        <v>0</v>
      </c>
      <c r="P455" s="159">
        <v>133</v>
      </c>
      <c r="Q455" s="159">
        <f t="shared" si="109"/>
        <v>0</v>
      </c>
      <c r="R455" s="140">
        <v>0</v>
      </c>
      <c r="S455" s="151">
        <f t="shared" si="110"/>
        <v>0</v>
      </c>
      <c r="T455" s="142">
        <v>0</v>
      </c>
      <c r="U455" s="151">
        <f t="shared" si="111"/>
        <v>0</v>
      </c>
      <c r="V455" s="140">
        <v>0</v>
      </c>
      <c r="W455" s="151">
        <f t="shared" si="112"/>
        <v>0</v>
      </c>
      <c r="X455" s="142">
        <v>0</v>
      </c>
      <c r="Y455" s="151">
        <f t="shared" si="113"/>
        <v>0</v>
      </c>
      <c r="Z455" s="146"/>
      <c r="AA455" s="155">
        <f t="shared" si="114"/>
        <v>0</v>
      </c>
      <c r="AB455" s="155">
        <f t="shared" si="115"/>
        <v>0</v>
      </c>
      <c r="AC455" s="149">
        <f t="shared" si="116"/>
        <v>0</v>
      </c>
      <c r="AD455" s="156">
        <f>Q455/4</f>
        <v>0</v>
      </c>
      <c r="AJ455" s="206">
        <f t="shared" si="117"/>
        <v>0</v>
      </c>
      <c r="AL455" s="149">
        <f t="shared" si="118"/>
        <v>0</v>
      </c>
    </row>
    <row r="456" spans="1:38" ht="21" customHeight="1" hidden="1">
      <c r="A456" s="140">
        <v>10949</v>
      </c>
      <c r="B456" s="140">
        <v>49</v>
      </c>
      <c r="C456" s="146" t="s">
        <v>683</v>
      </c>
      <c r="D456" s="147" t="s">
        <v>682</v>
      </c>
      <c r="E456" s="192" t="s">
        <v>489</v>
      </c>
      <c r="F456" s="153">
        <v>1</v>
      </c>
      <c r="G456" s="161" t="s">
        <v>1257</v>
      </c>
      <c r="H456" s="153">
        <v>1</v>
      </c>
      <c r="I456" s="153" t="s">
        <v>388</v>
      </c>
      <c r="J456" s="140">
        <v>60</v>
      </c>
      <c r="K456" s="142">
        <v>0</v>
      </c>
      <c r="L456" s="142">
        <v>0</v>
      </c>
      <c r="M456" s="143">
        <v>0</v>
      </c>
      <c r="N456" s="144">
        <v>0</v>
      </c>
      <c r="O456" s="143">
        <f t="shared" si="108"/>
        <v>0</v>
      </c>
      <c r="P456" s="140">
        <v>833</v>
      </c>
      <c r="Q456" s="159">
        <f t="shared" si="109"/>
        <v>0</v>
      </c>
      <c r="R456" s="140">
        <v>0</v>
      </c>
      <c r="S456" s="151">
        <f t="shared" si="110"/>
        <v>0</v>
      </c>
      <c r="T456" s="142">
        <v>0</v>
      </c>
      <c r="U456" s="151">
        <f t="shared" si="111"/>
        <v>0</v>
      </c>
      <c r="V456" s="140">
        <v>0</v>
      </c>
      <c r="W456" s="151">
        <f t="shared" si="112"/>
        <v>0</v>
      </c>
      <c r="X456" s="142">
        <v>0</v>
      </c>
      <c r="Y456" s="151">
        <f t="shared" si="113"/>
        <v>0</v>
      </c>
      <c r="Z456" s="146"/>
      <c r="AA456" s="155">
        <f t="shared" si="114"/>
        <v>0</v>
      </c>
      <c r="AB456" s="155">
        <f t="shared" si="115"/>
        <v>0</v>
      </c>
      <c r="AC456" s="149">
        <f t="shared" si="116"/>
        <v>0</v>
      </c>
      <c r="AD456" s="156">
        <f>Q456/4</f>
        <v>0</v>
      </c>
      <c r="AI456" s="150" t="s">
        <v>1355</v>
      </c>
      <c r="AJ456" s="206">
        <f t="shared" si="117"/>
        <v>0</v>
      </c>
      <c r="AL456" s="149">
        <f t="shared" si="118"/>
        <v>0</v>
      </c>
    </row>
    <row r="457" spans="1:38" ht="15" hidden="1">
      <c r="A457" s="140">
        <v>10949</v>
      </c>
      <c r="B457" s="140">
        <v>166</v>
      </c>
      <c r="C457" s="146"/>
      <c r="D457" s="147"/>
      <c r="E457" s="191" t="s">
        <v>1480</v>
      </c>
      <c r="F457" s="153">
        <v>2</v>
      </c>
      <c r="G457" s="154" t="s">
        <v>1248</v>
      </c>
      <c r="H457" s="140">
        <v>1</v>
      </c>
      <c r="I457" s="140" t="s">
        <v>392</v>
      </c>
      <c r="J457" s="140">
        <v>0</v>
      </c>
      <c r="K457" s="142">
        <v>0</v>
      </c>
      <c r="L457" s="142">
        <v>0</v>
      </c>
      <c r="M457" s="143">
        <v>0</v>
      </c>
      <c r="N457" s="144">
        <v>0</v>
      </c>
      <c r="O457" s="143">
        <f t="shared" si="108"/>
        <v>0</v>
      </c>
      <c r="P457" s="140">
        <v>1028</v>
      </c>
      <c r="Q457" s="159">
        <f t="shared" si="109"/>
        <v>0</v>
      </c>
      <c r="R457" s="140">
        <v>0</v>
      </c>
      <c r="S457" s="151">
        <f t="shared" si="110"/>
        <v>0</v>
      </c>
      <c r="T457" s="142">
        <v>0</v>
      </c>
      <c r="U457" s="151">
        <f t="shared" si="111"/>
        <v>0</v>
      </c>
      <c r="V457" s="140">
        <v>0</v>
      </c>
      <c r="W457" s="151">
        <f t="shared" si="112"/>
        <v>0</v>
      </c>
      <c r="X457" s="142">
        <v>0</v>
      </c>
      <c r="Y457" s="151">
        <f t="shared" si="113"/>
        <v>0</v>
      </c>
      <c r="Z457" s="146"/>
      <c r="AA457" s="155">
        <f t="shared" si="114"/>
        <v>0</v>
      </c>
      <c r="AB457" s="155">
        <f t="shared" si="115"/>
        <v>0</v>
      </c>
      <c r="AC457" s="149">
        <f t="shared" si="116"/>
        <v>0</v>
      </c>
      <c r="AD457" s="156"/>
      <c r="AJ457" s="206">
        <f t="shared" si="117"/>
        <v>0</v>
      </c>
      <c r="AL457" s="149">
        <f t="shared" si="118"/>
        <v>0</v>
      </c>
    </row>
    <row r="458" spans="1:38" ht="15" hidden="1">
      <c r="A458" s="140">
        <v>10949</v>
      </c>
      <c r="B458" s="140">
        <v>204</v>
      </c>
      <c r="C458" s="146" t="s">
        <v>899</v>
      </c>
      <c r="D458" s="147" t="s">
        <v>900</v>
      </c>
      <c r="E458" s="193" t="s">
        <v>599</v>
      </c>
      <c r="F458" s="174">
        <v>1</v>
      </c>
      <c r="G458" s="185" t="s">
        <v>1245</v>
      </c>
      <c r="H458" s="168">
        <v>100</v>
      </c>
      <c r="I458" s="168" t="s">
        <v>376</v>
      </c>
      <c r="J458" s="168">
        <v>0</v>
      </c>
      <c r="K458" s="169">
        <v>0</v>
      </c>
      <c r="L458" s="142">
        <v>0</v>
      </c>
      <c r="M458" s="143">
        <v>0</v>
      </c>
      <c r="N458" s="173">
        <v>0</v>
      </c>
      <c r="O458" s="186">
        <f t="shared" si="108"/>
        <v>0</v>
      </c>
      <c r="P458" s="168">
        <v>2400</v>
      </c>
      <c r="Q458" s="159">
        <f t="shared" si="109"/>
        <v>0</v>
      </c>
      <c r="R458" s="140">
        <v>0</v>
      </c>
      <c r="S458" s="151">
        <f t="shared" si="110"/>
        <v>0</v>
      </c>
      <c r="T458" s="142">
        <v>0</v>
      </c>
      <c r="U458" s="151">
        <f t="shared" si="111"/>
        <v>0</v>
      </c>
      <c r="V458" s="140">
        <v>0</v>
      </c>
      <c r="W458" s="151">
        <f t="shared" si="112"/>
        <v>0</v>
      </c>
      <c r="X458" s="142">
        <v>0</v>
      </c>
      <c r="Y458" s="151">
        <f t="shared" si="113"/>
        <v>0</v>
      </c>
      <c r="Z458" s="146"/>
      <c r="AA458" s="155">
        <f t="shared" si="114"/>
        <v>0</v>
      </c>
      <c r="AB458" s="155">
        <f t="shared" si="115"/>
        <v>0</v>
      </c>
      <c r="AC458" s="149">
        <f t="shared" si="116"/>
        <v>0</v>
      </c>
      <c r="AD458" s="156">
        <f>Q458/4</f>
        <v>0</v>
      </c>
      <c r="AJ458" s="206">
        <f t="shared" si="117"/>
        <v>0</v>
      </c>
      <c r="AL458" s="149">
        <f t="shared" si="118"/>
        <v>0</v>
      </c>
    </row>
    <row r="459" spans="1:38" ht="15" hidden="1">
      <c r="A459" s="140">
        <v>10949</v>
      </c>
      <c r="B459" s="140">
        <v>284</v>
      </c>
      <c r="C459" s="146" t="s">
        <v>993</v>
      </c>
      <c r="D459" s="147" t="s">
        <v>992</v>
      </c>
      <c r="E459" s="191" t="s">
        <v>401</v>
      </c>
      <c r="F459" s="153">
        <v>1</v>
      </c>
      <c r="G459" s="154" t="s">
        <v>1248</v>
      </c>
      <c r="H459" s="140">
        <v>1</v>
      </c>
      <c r="I459" s="140" t="s">
        <v>389</v>
      </c>
      <c r="J459" s="140">
        <v>0</v>
      </c>
      <c r="K459" s="142">
        <v>0</v>
      </c>
      <c r="L459" s="142">
        <v>0</v>
      </c>
      <c r="M459" s="143">
        <v>0</v>
      </c>
      <c r="N459" s="144">
        <v>0</v>
      </c>
      <c r="O459" s="143">
        <f t="shared" si="108"/>
        <v>0</v>
      </c>
      <c r="P459" s="140">
        <v>8.13</v>
      </c>
      <c r="Q459" s="159">
        <f t="shared" si="109"/>
        <v>0</v>
      </c>
      <c r="R459" s="140">
        <v>0</v>
      </c>
      <c r="S459" s="151">
        <f t="shared" si="110"/>
        <v>0</v>
      </c>
      <c r="T459" s="142">
        <v>0</v>
      </c>
      <c r="U459" s="151">
        <f t="shared" si="111"/>
        <v>0</v>
      </c>
      <c r="V459" s="140">
        <v>0</v>
      </c>
      <c r="W459" s="151">
        <f t="shared" si="112"/>
        <v>0</v>
      </c>
      <c r="X459" s="142">
        <v>0</v>
      </c>
      <c r="Y459" s="151">
        <f t="shared" si="113"/>
        <v>0</v>
      </c>
      <c r="Z459" s="146"/>
      <c r="AA459" s="155">
        <f t="shared" si="114"/>
        <v>0</v>
      </c>
      <c r="AB459" s="155">
        <f t="shared" si="115"/>
        <v>0</v>
      </c>
      <c r="AC459" s="149">
        <f t="shared" si="116"/>
        <v>0</v>
      </c>
      <c r="AD459" s="156">
        <f>Q459/4</f>
        <v>0</v>
      </c>
      <c r="AI459" s="150" t="s">
        <v>1352</v>
      </c>
      <c r="AJ459" s="206">
        <f t="shared" si="117"/>
        <v>0</v>
      </c>
      <c r="AL459" s="149">
        <f t="shared" si="118"/>
        <v>0</v>
      </c>
    </row>
    <row r="460" spans="1:36" ht="15" hidden="1">
      <c r="A460" s="140"/>
      <c r="B460" s="140">
        <v>399</v>
      </c>
      <c r="C460" s="146"/>
      <c r="D460" s="147"/>
      <c r="E460" s="187" t="s">
        <v>1539</v>
      </c>
      <c r="F460" s="188"/>
      <c r="G460" s="195" t="s">
        <v>1257</v>
      </c>
      <c r="H460" s="189">
        <v>60</v>
      </c>
      <c r="I460" s="189" t="s">
        <v>1250</v>
      </c>
      <c r="J460" s="140">
        <v>0</v>
      </c>
      <c r="K460" s="140">
        <v>10</v>
      </c>
      <c r="L460" s="142">
        <v>0</v>
      </c>
      <c r="M460" s="143">
        <v>0</v>
      </c>
      <c r="N460" s="144">
        <v>0</v>
      </c>
      <c r="O460" s="143">
        <f t="shared" si="108"/>
        <v>0</v>
      </c>
      <c r="P460" s="140">
        <v>159</v>
      </c>
      <c r="Q460" s="159">
        <f t="shared" si="109"/>
        <v>0</v>
      </c>
      <c r="R460" s="140"/>
      <c r="S460" s="151"/>
      <c r="T460" s="142"/>
      <c r="U460" s="151"/>
      <c r="V460" s="140"/>
      <c r="W460" s="151"/>
      <c r="X460" s="142"/>
      <c r="Y460" s="151"/>
      <c r="Z460" s="146"/>
      <c r="AA460" s="155">
        <f t="shared" si="114"/>
        <v>0</v>
      </c>
      <c r="AB460" s="155">
        <f t="shared" si="115"/>
        <v>0</v>
      </c>
      <c r="AC460" s="149">
        <f t="shared" si="116"/>
        <v>0</v>
      </c>
      <c r="AD460" s="156"/>
      <c r="AJ460" s="206">
        <f t="shared" si="117"/>
        <v>0</v>
      </c>
    </row>
    <row r="461" spans="1:38" ht="15" hidden="1">
      <c r="A461" s="140">
        <v>10949</v>
      </c>
      <c r="B461" s="140">
        <v>316</v>
      </c>
      <c r="C461" s="146" t="s">
        <v>1041</v>
      </c>
      <c r="D461" s="147" t="s">
        <v>1040</v>
      </c>
      <c r="E461" s="191" t="s">
        <v>537</v>
      </c>
      <c r="F461" s="153">
        <v>1</v>
      </c>
      <c r="G461" s="187" t="s">
        <v>1248</v>
      </c>
      <c r="H461" s="153">
        <v>1</v>
      </c>
      <c r="I461" s="153" t="s">
        <v>378</v>
      </c>
      <c r="J461" s="140">
        <v>0</v>
      </c>
      <c r="K461" s="142">
        <v>0</v>
      </c>
      <c r="L461" s="142">
        <v>0</v>
      </c>
      <c r="M461" s="143">
        <v>0</v>
      </c>
      <c r="N461" s="144">
        <v>0</v>
      </c>
      <c r="O461" s="143">
        <f t="shared" si="108"/>
        <v>0</v>
      </c>
      <c r="P461" s="140">
        <v>4.25</v>
      </c>
      <c r="Q461" s="159">
        <f t="shared" si="109"/>
        <v>0</v>
      </c>
      <c r="R461" s="140">
        <v>0</v>
      </c>
      <c r="S461" s="151">
        <f>R461*P461</f>
        <v>0</v>
      </c>
      <c r="T461" s="140">
        <v>0</v>
      </c>
      <c r="U461" s="151">
        <f>T461*P461</f>
        <v>0</v>
      </c>
      <c r="V461" s="140">
        <v>0</v>
      </c>
      <c r="W461" s="151">
        <f>V461*P461</f>
        <v>0</v>
      </c>
      <c r="X461" s="140">
        <v>0</v>
      </c>
      <c r="Y461" s="151">
        <f>X461*P461</f>
        <v>0</v>
      </c>
      <c r="Z461" s="146"/>
      <c r="AA461" s="155">
        <f t="shared" si="114"/>
        <v>0</v>
      </c>
      <c r="AB461" s="155">
        <f t="shared" si="115"/>
        <v>0</v>
      </c>
      <c r="AC461" s="149">
        <f t="shared" si="116"/>
        <v>0</v>
      </c>
      <c r="AD461" s="156">
        <f>Q461/4</f>
        <v>0</v>
      </c>
      <c r="AJ461" s="206">
        <f t="shared" si="117"/>
        <v>0</v>
      </c>
      <c r="AL461" s="149">
        <f>AK461/H461</f>
        <v>0</v>
      </c>
    </row>
    <row r="462" spans="1:38" ht="15" hidden="1">
      <c r="A462" s="140">
        <v>10949</v>
      </c>
      <c r="B462" s="140">
        <v>317</v>
      </c>
      <c r="C462" s="146" t="s">
        <v>1043</v>
      </c>
      <c r="D462" s="147" t="s">
        <v>1042</v>
      </c>
      <c r="E462" s="191" t="s">
        <v>538</v>
      </c>
      <c r="F462" s="153">
        <v>1</v>
      </c>
      <c r="G462" s="187" t="s">
        <v>1248</v>
      </c>
      <c r="H462" s="140">
        <v>1</v>
      </c>
      <c r="I462" s="140" t="s">
        <v>378</v>
      </c>
      <c r="J462" s="140">
        <v>0</v>
      </c>
      <c r="K462" s="142">
        <v>0</v>
      </c>
      <c r="L462" s="142">
        <v>0</v>
      </c>
      <c r="M462" s="143">
        <v>0</v>
      </c>
      <c r="N462" s="144">
        <v>0</v>
      </c>
      <c r="O462" s="143">
        <f t="shared" si="108"/>
        <v>0</v>
      </c>
      <c r="P462" s="140">
        <v>4.75</v>
      </c>
      <c r="Q462" s="159">
        <f t="shared" si="109"/>
        <v>0</v>
      </c>
      <c r="R462" s="140">
        <v>0</v>
      </c>
      <c r="S462" s="151">
        <f>R462*P462</f>
        <v>0</v>
      </c>
      <c r="T462" s="140">
        <v>0</v>
      </c>
      <c r="U462" s="151">
        <f>T462*P462</f>
        <v>0</v>
      </c>
      <c r="V462" s="140">
        <v>0</v>
      </c>
      <c r="W462" s="151">
        <f>V462*P462</f>
        <v>0</v>
      </c>
      <c r="X462" s="140">
        <v>0</v>
      </c>
      <c r="Y462" s="151">
        <f>X462*P462</f>
        <v>0</v>
      </c>
      <c r="Z462" s="146"/>
      <c r="AA462" s="155">
        <f t="shared" si="114"/>
        <v>0</v>
      </c>
      <c r="AB462" s="155">
        <f t="shared" si="115"/>
        <v>0</v>
      </c>
      <c r="AC462" s="149">
        <f t="shared" si="116"/>
        <v>0</v>
      </c>
      <c r="AD462" s="156">
        <f>Q462/4</f>
        <v>0</v>
      </c>
      <c r="AI462" s="150" t="s">
        <v>1352</v>
      </c>
      <c r="AJ462" s="206">
        <f t="shared" si="117"/>
        <v>0</v>
      </c>
      <c r="AL462" s="149">
        <f>AK462/H462</f>
        <v>0</v>
      </c>
    </row>
    <row r="463" spans="1:36" ht="15" hidden="1">
      <c r="A463" s="140"/>
      <c r="B463" s="140"/>
      <c r="C463" s="146"/>
      <c r="D463" s="147"/>
      <c r="E463" s="187" t="s">
        <v>1540</v>
      </c>
      <c r="F463" s="188"/>
      <c r="G463" s="187"/>
      <c r="H463" s="190">
        <v>250</v>
      </c>
      <c r="I463" s="190" t="s">
        <v>376</v>
      </c>
      <c r="J463" s="140">
        <v>0</v>
      </c>
      <c r="K463" s="140">
        <v>1</v>
      </c>
      <c r="L463" s="142">
        <v>0</v>
      </c>
      <c r="M463" s="143">
        <f>(J463+K463+L463)/3*1.05</f>
        <v>0.35</v>
      </c>
      <c r="N463" s="144">
        <v>17</v>
      </c>
      <c r="O463" s="143">
        <v>0</v>
      </c>
      <c r="P463" s="140">
        <v>1050</v>
      </c>
      <c r="Q463" s="159">
        <f t="shared" si="109"/>
        <v>0</v>
      </c>
      <c r="R463" s="140"/>
      <c r="S463" s="151"/>
      <c r="T463" s="142"/>
      <c r="U463" s="151"/>
      <c r="V463" s="140"/>
      <c r="W463" s="151"/>
      <c r="X463" s="142"/>
      <c r="Y463" s="151"/>
      <c r="Z463" s="146"/>
      <c r="AA463" s="155">
        <f t="shared" si="114"/>
        <v>0</v>
      </c>
      <c r="AB463" s="155">
        <f t="shared" si="115"/>
        <v>0</v>
      </c>
      <c r="AC463" s="149">
        <f t="shared" si="116"/>
        <v>0</v>
      </c>
      <c r="AD463" s="156"/>
      <c r="AJ463" s="206">
        <f t="shared" si="117"/>
        <v>0</v>
      </c>
    </row>
    <row r="464" spans="1:36" ht="15" hidden="1">
      <c r="A464" s="140"/>
      <c r="B464" s="140"/>
      <c r="C464" s="146"/>
      <c r="D464" s="147"/>
      <c r="E464" s="187" t="s">
        <v>1541</v>
      </c>
      <c r="F464" s="188"/>
      <c r="G464" s="187"/>
      <c r="H464" s="190">
        <v>250</v>
      </c>
      <c r="I464" s="190" t="s">
        <v>376</v>
      </c>
      <c r="J464" s="140">
        <v>0</v>
      </c>
      <c r="K464" s="140">
        <v>2</v>
      </c>
      <c r="L464" s="142">
        <v>0</v>
      </c>
      <c r="M464" s="143">
        <v>10</v>
      </c>
      <c r="N464" s="144">
        <v>0</v>
      </c>
      <c r="O464" s="143">
        <v>10</v>
      </c>
      <c r="P464" s="140">
        <v>575</v>
      </c>
      <c r="Q464" s="159">
        <f t="shared" si="109"/>
        <v>5750</v>
      </c>
      <c r="R464" s="140"/>
      <c r="S464" s="151"/>
      <c r="T464" s="142"/>
      <c r="U464" s="151"/>
      <c r="V464" s="140"/>
      <c r="W464" s="151"/>
      <c r="X464" s="142"/>
      <c r="Y464" s="151"/>
      <c r="Z464" s="146"/>
      <c r="AA464" s="155">
        <f t="shared" si="114"/>
        <v>0</v>
      </c>
      <c r="AB464" s="155">
        <f t="shared" si="115"/>
        <v>10</v>
      </c>
      <c r="AC464" s="149">
        <f t="shared" si="116"/>
        <v>2.5</v>
      </c>
      <c r="AD464" s="156"/>
      <c r="AJ464" s="206">
        <f t="shared" si="117"/>
        <v>0</v>
      </c>
    </row>
    <row r="465" spans="1:36" ht="15" hidden="1">
      <c r="A465" s="140"/>
      <c r="B465" s="140"/>
      <c r="C465" s="146"/>
      <c r="D465" s="147"/>
      <c r="E465" s="187" t="s">
        <v>1542</v>
      </c>
      <c r="F465" s="188"/>
      <c r="G465" s="187"/>
      <c r="H465" s="190">
        <v>100</v>
      </c>
      <c r="I465" s="190" t="s">
        <v>376</v>
      </c>
      <c r="J465" s="140">
        <v>0</v>
      </c>
      <c r="K465" s="140">
        <v>5</v>
      </c>
      <c r="L465" s="142">
        <v>14.399999999999999</v>
      </c>
      <c r="M465" s="143">
        <v>20</v>
      </c>
      <c r="N465" s="144">
        <v>0</v>
      </c>
      <c r="O465" s="143">
        <v>20</v>
      </c>
      <c r="P465" s="140">
        <v>240</v>
      </c>
      <c r="Q465" s="159">
        <f t="shared" si="109"/>
        <v>4800</v>
      </c>
      <c r="R465" s="140"/>
      <c r="S465" s="151"/>
      <c r="T465" s="142"/>
      <c r="U465" s="151"/>
      <c r="V465" s="140"/>
      <c r="W465" s="151"/>
      <c r="X465" s="142"/>
      <c r="Y465" s="151"/>
      <c r="Z465" s="146"/>
      <c r="AA465" s="155">
        <f t="shared" si="114"/>
        <v>0</v>
      </c>
      <c r="AB465" s="155">
        <f t="shared" si="115"/>
        <v>20</v>
      </c>
      <c r="AC465" s="149">
        <f t="shared" si="116"/>
        <v>5</v>
      </c>
      <c r="AD465" s="156"/>
      <c r="AG465" s="149">
        <v>12</v>
      </c>
      <c r="AH465" s="149">
        <v>2400</v>
      </c>
      <c r="AJ465" s="206">
        <f t="shared" si="117"/>
        <v>14.399999999999999</v>
      </c>
    </row>
    <row r="466" spans="1:36" ht="15" hidden="1">
      <c r="A466" s="140"/>
      <c r="B466" s="140"/>
      <c r="C466" s="146"/>
      <c r="D466" s="147"/>
      <c r="E466" s="187" t="s">
        <v>1543</v>
      </c>
      <c r="F466" s="188"/>
      <c r="G466" s="187"/>
      <c r="H466" s="190">
        <v>1</v>
      </c>
      <c r="I466" s="190" t="s">
        <v>410</v>
      </c>
      <c r="J466" s="140">
        <v>0</v>
      </c>
      <c r="K466" s="140">
        <v>5</v>
      </c>
      <c r="L466" s="142">
        <v>0</v>
      </c>
      <c r="M466" s="143">
        <v>10</v>
      </c>
      <c r="N466" s="144">
        <v>0</v>
      </c>
      <c r="O466" s="143">
        <v>10</v>
      </c>
      <c r="P466" s="140">
        <v>420</v>
      </c>
      <c r="Q466" s="159">
        <f t="shared" si="109"/>
        <v>4200</v>
      </c>
      <c r="R466" s="140"/>
      <c r="S466" s="151"/>
      <c r="T466" s="142"/>
      <c r="U466" s="151"/>
      <c r="V466" s="140"/>
      <c r="W466" s="151"/>
      <c r="X466" s="142"/>
      <c r="Y466" s="151"/>
      <c r="Z466" s="146"/>
      <c r="AA466" s="155">
        <f t="shared" si="114"/>
        <v>0</v>
      </c>
      <c r="AB466" s="155">
        <f t="shared" si="115"/>
        <v>10</v>
      </c>
      <c r="AC466" s="149">
        <f t="shared" si="116"/>
        <v>2.5</v>
      </c>
      <c r="AD466" s="156"/>
      <c r="AJ466" s="206">
        <f t="shared" si="117"/>
        <v>0</v>
      </c>
    </row>
    <row r="467" spans="1:36" ht="15" hidden="1">
      <c r="A467" s="140"/>
      <c r="B467" s="140"/>
      <c r="C467" s="146"/>
      <c r="D467" s="147"/>
      <c r="E467" s="187" t="s">
        <v>1545</v>
      </c>
      <c r="F467" s="188"/>
      <c r="G467" s="187"/>
      <c r="H467" s="190">
        <v>1</v>
      </c>
      <c r="I467" s="190" t="s">
        <v>1546</v>
      </c>
      <c r="J467" s="140">
        <v>0</v>
      </c>
      <c r="K467" s="140">
        <v>0</v>
      </c>
      <c r="L467" s="142">
        <v>48</v>
      </c>
      <c r="M467" s="143">
        <v>48</v>
      </c>
      <c r="N467" s="144">
        <v>0</v>
      </c>
      <c r="O467" s="143">
        <v>48</v>
      </c>
      <c r="P467" s="140"/>
      <c r="Q467" s="159">
        <f t="shared" si="109"/>
        <v>0</v>
      </c>
      <c r="R467" s="140"/>
      <c r="S467" s="151"/>
      <c r="T467" s="142"/>
      <c r="U467" s="151"/>
      <c r="V467" s="140"/>
      <c r="W467" s="151"/>
      <c r="X467" s="142"/>
      <c r="Y467" s="151"/>
      <c r="Z467" s="146"/>
      <c r="AA467" s="155">
        <f t="shared" si="114"/>
        <v>0</v>
      </c>
      <c r="AB467" s="155">
        <f t="shared" si="115"/>
        <v>48</v>
      </c>
      <c r="AC467" s="149">
        <f t="shared" si="116"/>
        <v>12</v>
      </c>
      <c r="AD467" s="156"/>
      <c r="AG467" s="149">
        <v>40</v>
      </c>
      <c r="AH467" s="149">
        <v>2000</v>
      </c>
      <c r="AJ467" s="206">
        <f t="shared" si="117"/>
        <v>48</v>
      </c>
    </row>
    <row r="468" spans="1:36" ht="15" hidden="1">
      <c r="A468" s="140"/>
      <c r="B468" s="140"/>
      <c r="C468" s="146"/>
      <c r="D468" s="147"/>
      <c r="E468" s="187" t="s">
        <v>1547</v>
      </c>
      <c r="F468" s="188"/>
      <c r="G468" s="187"/>
      <c r="H468" s="190">
        <v>1</v>
      </c>
      <c r="I468" s="190" t="s">
        <v>1546</v>
      </c>
      <c r="J468" s="140">
        <v>0</v>
      </c>
      <c r="K468" s="140">
        <v>0</v>
      </c>
      <c r="L468" s="142">
        <v>336</v>
      </c>
      <c r="M468" s="143">
        <f aca="true" t="shared" si="119" ref="M468:M474">(J468+K468+L468)/3*1.05</f>
        <v>117.60000000000001</v>
      </c>
      <c r="N468" s="144">
        <v>60</v>
      </c>
      <c r="O468" s="143"/>
      <c r="P468" s="140"/>
      <c r="Q468" s="159">
        <f t="shared" si="109"/>
        <v>0</v>
      </c>
      <c r="R468" s="140"/>
      <c r="S468" s="151"/>
      <c r="T468" s="142"/>
      <c r="U468" s="151"/>
      <c r="V468" s="140"/>
      <c r="W468" s="151"/>
      <c r="X468" s="142"/>
      <c r="Y468" s="151"/>
      <c r="Z468" s="146"/>
      <c r="AA468" s="155">
        <f t="shared" si="114"/>
        <v>0</v>
      </c>
      <c r="AB468" s="155">
        <f t="shared" si="115"/>
        <v>0</v>
      </c>
      <c r="AC468" s="149">
        <f t="shared" si="116"/>
        <v>0</v>
      </c>
      <c r="AD468" s="156"/>
      <c r="AG468" s="149">
        <v>280</v>
      </c>
      <c r="AH468" s="149">
        <v>11384.800000000001</v>
      </c>
      <c r="AJ468" s="206">
        <f t="shared" si="117"/>
        <v>336</v>
      </c>
    </row>
    <row r="469" spans="1:36" ht="15" hidden="1">
      <c r="A469" s="140"/>
      <c r="B469" s="140"/>
      <c r="C469" s="146"/>
      <c r="D469" s="147"/>
      <c r="E469" s="187" t="s">
        <v>1548</v>
      </c>
      <c r="F469" s="188"/>
      <c r="G469" s="187"/>
      <c r="H469" s="190">
        <v>1</v>
      </c>
      <c r="I469" s="190" t="s">
        <v>1546</v>
      </c>
      <c r="J469" s="140"/>
      <c r="K469" s="140"/>
      <c r="L469" s="142">
        <v>24</v>
      </c>
      <c r="M469" s="143">
        <f t="shared" si="119"/>
        <v>8.4</v>
      </c>
      <c r="N469" s="144"/>
      <c r="O469" s="143"/>
      <c r="P469" s="140"/>
      <c r="Q469" s="159">
        <f t="shared" si="109"/>
        <v>0</v>
      </c>
      <c r="R469" s="140"/>
      <c r="S469" s="151"/>
      <c r="T469" s="142"/>
      <c r="U469" s="151"/>
      <c r="V469" s="140"/>
      <c r="W469" s="151"/>
      <c r="X469" s="142"/>
      <c r="Y469" s="151"/>
      <c r="Z469" s="146"/>
      <c r="AA469" s="155">
        <f t="shared" si="114"/>
        <v>0</v>
      </c>
      <c r="AB469" s="155">
        <f t="shared" si="115"/>
        <v>0</v>
      </c>
      <c r="AC469" s="149">
        <f t="shared" si="116"/>
        <v>0</v>
      </c>
      <c r="AD469" s="156"/>
      <c r="AG469" s="149">
        <v>20</v>
      </c>
      <c r="AH469" s="149">
        <v>760</v>
      </c>
      <c r="AJ469" s="206">
        <f t="shared" si="117"/>
        <v>24</v>
      </c>
    </row>
    <row r="470" spans="1:36" ht="15" hidden="1">
      <c r="A470" s="140"/>
      <c r="B470" s="140"/>
      <c r="C470" s="146"/>
      <c r="D470" s="147"/>
      <c r="E470" s="187" t="s">
        <v>1549</v>
      </c>
      <c r="F470" s="188"/>
      <c r="G470" s="187"/>
      <c r="H470" s="190">
        <v>1</v>
      </c>
      <c r="I470" s="190" t="s">
        <v>1550</v>
      </c>
      <c r="J470" s="140"/>
      <c r="K470" s="140"/>
      <c r="L470" s="142">
        <v>32.400000000000006</v>
      </c>
      <c r="M470" s="143">
        <f t="shared" si="119"/>
        <v>11.340000000000003</v>
      </c>
      <c r="N470" s="144"/>
      <c r="O470" s="143"/>
      <c r="P470" s="140"/>
      <c r="Q470" s="159">
        <f t="shared" si="109"/>
        <v>0</v>
      </c>
      <c r="R470" s="140"/>
      <c r="S470" s="151"/>
      <c r="T470" s="142"/>
      <c r="U470" s="151"/>
      <c r="V470" s="140"/>
      <c r="W470" s="151"/>
      <c r="X470" s="142"/>
      <c r="Y470" s="151"/>
      <c r="Z470" s="146"/>
      <c r="AA470" s="155">
        <f t="shared" si="114"/>
        <v>0</v>
      </c>
      <c r="AB470" s="155">
        <f t="shared" si="115"/>
        <v>0</v>
      </c>
      <c r="AC470" s="149">
        <f t="shared" si="116"/>
        <v>0</v>
      </c>
      <c r="AD470" s="156"/>
      <c r="AG470" s="149">
        <v>27</v>
      </c>
      <c r="AH470" s="149">
        <v>27813.89</v>
      </c>
      <c r="AJ470" s="206">
        <f t="shared" si="117"/>
        <v>32.400000000000006</v>
      </c>
    </row>
    <row r="471" spans="1:36" ht="15" hidden="1">
      <c r="A471" s="140"/>
      <c r="B471" s="140"/>
      <c r="C471" s="146"/>
      <c r="D471" s="147"/>
      <c r="E471" s="187" t="s">
        <v>1551</v>
      </c>
      <c r="F471" s="188"/>
      <c r="G471" s="187"/>
      <c r="H471" s="190">
        <v>100</v>
      </c>
      <c r="I471" s="190" t="s">
        <v>376</v>
      </c>
      <c r="J471" s="140"/>
      <c r="K471" s="140"/>
      <c r="L471" s="142">
        <v>15.839999999999998</v>
      </c>
      <c r="M471" s="143">
        <f t="shared" si="119"/>
        <v>5.544</v>
      </c>
      <c r="N471" s="144"/>
      <c r="O471" s="143"/>
      <c r="P471" s="140"/>
      <c r="Q471" s="159">
        <f t="shared" si="109"/>
        <v>0</v>
      </c>
      <c r="R471" s="140"/>
      <c r="S471" s="151"/>
      <c r="T471" s="142"/>
      <c r="U471" s="151"/>
      <c r="V471" s="140"/>
      <c r="W471" s="151"/>
      <c r="X471" s="142"/>
      <c r="Y471" s="151"/>
      <c r="Z471" s="146"/>
      <c r="AA471" s="155">
        <f t="shared" si="114"/>
        <v>0</v>
      </c>
      <c r="AB471" s="155">
        <f t="shared" si="115"/>
        <v>0</v>
      </c>
      <c r="AC471" s="149">
        <f t="shared" si="116"/>
        <v>0</v>
      </c>
      <c r="AD471" s="156"/>
      <c r="AG471" s="149">
        <v>13.2</v>
      </c>
      <c r="AH471" s="149">
        <v>3488.3599999999997</v>
      </c>
      <c r="AJ471" s="206">
        <f t="shared" si="117"/>
        <v>15.839999999999998</v>
      </c>
    </row>
    <row r="472" spans="1:36" ht="15" hidden="1">
      <c r="A472" s="140"/>
      <c r="B472" s="140">
        <v>400</v>
      </c>
      <c r="C472" s="146"/>
      <c r="D472" s="147"/>
      <c r="E472" s="187" t="s">
        <v>1552</v>
      </c>
      <c r="F472" s="153"/>
      <c r="G472" s="154"/>
      <c r="H472" s="140">
        <v>100</v>
      </c>
      <c r="I472" s="140" t="s">
        <v>376</v>
      </c>
      <c r="J472" s="140"/>
      <c r="K472" s="140"/>
      <c r="L472" s="142">
        <v>4.800000000000001</v>
      </c>
      <c r="M472" s="143">
        <f t="shared" si="119"/>
        <v>1.6800000000000004</v>
      </c>
      <c r="N472" s="144"/>
      <c r="O472" s="143"/>
      <c r="P472" s="140"/>
      <c r="Q472" s="159">
        <f t="shared" si="109"/>
        <v>0</v>
      </c>
      <c r="R472" s="140"/>
      <c r="S472" s="151"/>
      <c r="T472" s="142"/>
      <c r="U472" s="151"/>
      <c r="V472" s="140"/>
      <c r="W472" s="151"/>
      <c r="X472" s="142"/>
      <c r="Y472" s="151"/>
      <c r="Z472" s="146"/>
      <c r="AA472" s="155">
        <f t="shared" si="114"/>
        <v>0</v>
      </c>
      <c r="AB472" s="155">
        <f t="shared" si="115"/>
        <v>0</v>
      </c>
      <c r="AC472" s="149">
        <f t="shared" si="116"/>
        <v>0</v>
      </c>
      <c r="AD472" s="156"/>
      <c r="AG472" s="149">
        <v>4</v>
      </c>
      <c r="AH472" s="149">
        <v>136</v>
      </c>
      <c r="AJ472" s="206">
        <f t="shared" si="117"/>
        <v>4.800000000000001</v>
      </c>
    </row>
    <row r="473" spans="1:36" ht="15" hidden="1">
      <c r="A473" s="140"/>
      <c r="B473" s="140"/>
      <c r="C473" s="146"/>
      <c r="D473" s="147"/>
      <c r="E473" s="187" t="s">
        <v>1553</v>
      </c>
      <c r="F473" s="153"/>
      <c r="G473" s="154"/>
      <c r="H473" s="140">
        <v>1</v>
      </c>
      <c r="I473" s="140" t="s">
        <v>392</v>
      </c>
      <c r="J473" s="140"/>
      <c r="K473" s="140"/>
      <c r="L473" s="142">
        <v>28.799999999999997</v>
      </c>
      <c r="M473" s="143">
        <f t="shared" si="119"/>
        <v>10.08</v>
      </c>
      <c r="N473" s="144"/>
      <c r="O473" s="143"/>
      <c r="P473" s="140"/>
      <c r="Q473" s="159">
        <f t="shared" si="109"/>
        <v>0</v>
      </c>
      <c r="R473" s="140"/>
      <c r="S473" s="151"/>
      <c r="T473" s="142"/>
      <c r="U473" s="151"/>
      <c r="V473" s="140"/>
      <c r="W473" s="151"/>
      <c r="X473" s="142"/>
      <c r="Y473" s="151"/>
      <c r="Z473" s="146"/>
      <c r="AA473" s="155">
        <f t="shared" si="114"/>
        <v>0</v>
      </c>
      <c r="AB473" s="155">
        <f t="shared" si="115"/>
        <v>0</v>
      </c>
      <c r="AC473" s="149">
        <f t="shared" si="116"/>
        <v>0</v>
      </c>
      <c r="AD473" s="156"/>
      <c r="AG473" s="149">
        <v>24</v>
      </c>
      <c r="AH473" s="149">
        <v>4560</v>
      </c>
      <c r="AJ473" s="206">
        <f t="shared" si="117"/>
        <v>28.799999999999997</v>
      </c>
    </row>
    <row r="474" spans="1:40" ht="15" hidden="1">
      <c r="A474" s="140"/>
      <c r="B474" s="140"/>
      <c r="C474" s="146"/>
      <c r="D474" s="147"/>
      <c r="E474" s="187" t="s">
        <v>1554</v>
      </c>
      <c r="F474" s="153"/>
      <c r="G474" s="154"/>
      <c r="H474" s="140">
        <v>500</v>
      </c>
      <c r="I474" s="140" t="s">
        <v>376</v>
      </c>
      <c r="J474" s="140"/>
      <c r="K474" s="140"/>
      <c r="L474" s="142">
        <v>3.5999999999999996</v>
      </c>
      <c r="M474" s="143">
        <f t="shared" si="119"/>
        <v>1.26</v>
      </c>
      <c r="N474" s="144"/>
      <c r="O474" s="143"/>
      <c r="P474" s="159"/>
      <c r="Q474" s="159">
        <f t="shared" si="109"/>
        <v>0</v>
      </c>
      <c r="R474" s="137"/>
      <c r="S474" s="151"/>
      <c r="T474" s="142"/>
      <c r="U474" s="151"/>
      <c r="V474" s="140"/>
      <c r="W474" s="151"/>
      <c r="X474" s="142"/>
      <c r="Y474" s="151"/>
      <c r="Z474" s="146"/>
      <c r="AA474" s="155">
        <f t="shared" si="114"/>
        <v>0</v>
      </c>
      <c r="AB474" s="155">
        <f t="shared" si="115"/>
        <v>0</v>
      </c>
      <c r="AC474" s="149">
        <f t="shared" si="116"/>
        <v>0</v>
      </c>
      <c r="AD474" s="156"/>
      <c r="AG474" s="149">
        <v>3</v>
      </c>
      <c r="AH474" s="149">
        <v>2975.3199999999997</v>
      </c>
      <c r="AJ474" s="206">
        <f t="shared" si="117"/>
        <v>3.5999999999999996</v>
      </c>
      <c r="AM474" s="214"/>
      <c r="AN474" s="214"/>
    </row>
    <row r="475" spans="5:26" ht="15" hidden="1">
      <c r="E475" s="195" t="s">
        <v>1555</v>
      </c>
      <c r="F475" s="178"/>
      <c r="H475" s="182">
        <v>1</v>
      </c>
      <c r="I475" s="182" t="s">
        <v>376</v>
      </c>
      <c r="L475" s="142">
        <v>324</v>
      </c>
      <c r="M475" s="143">
        <f aca="true" t="shared" si="120" ref="M475:M487">(J475+K475+L475)/3*1.05</f>
        <v>113.4</v>
      </c>
      <c r="Q475" s="184"/>
      <c r="R475" s="157"/>
      <c r="S475" s="157"/>
      <c r="T475" s="157"/>
      <c r="U475" s="157"/>
      <c r="V475" s="157"/>
      <c r="W475" s="157"/>
      <c r="X475" s="157"/>
      <c r="Y475" s="157"/>
      <c r="Z475" s="197"/>
    </row>
    <row r="476" spans="5:26" ht="15" hidden="1">
      <c r="E476" s="149" t="s">
        <v>1556</v>
      </c>
      <c r="H476" s="182">
        <v>1</v>
      </c>
      <c r="I476" s="182" t="s">
        <v>554</v>
      </c>
      <c r="L476" s="142">
        <v>20.4</v>
      </c>
      <c r="M476" s="143">
        <f t="shared" si="120"/>
        <v>7.14</v>
      </c>
      <c r="N476" s="182">
        <v>68</v>
      </c>
      <c r="Q476" s="184"/>
      <c r="R476" s="157"/>
      <c r="S476" s="157"/>
      <c r="T476" s="157"/>
      <c r="U476" s="157"/>
      <c r="V476" s="157"/>
      <c r="W476" s="157"/>
      <c r="X476" s="157"/>
      <c r="Y476" s="157"/>
      <c r="Z476" s="197"/>
    </row>
    <row r="477" spans="5:26" ht="15" hidden="1">
      <c r="E477" s="149" t="s">
        <v>1557</v>
      </c>
      <c r="H477" s="182">
        <v>450</v>
      </c>
      <c r="I477" s="182" t="s">
        <v>1250</v>
      </c>
      <c r="L477" s="142">
        <v>16.799999999999997</v>
      </c>
      <c r="M477" s="143">
        <f t="shared" si="120"/>
        <v>5.879999999999999</v>
      </c>
      <c r="N477" s="182">
        <v>55</v>
      </c>
      <c r="Q477" s="184"/>
      <c r="R477" s="157"/>
      <c r="S477" s="157"/>
      <c r="T477" s="157"/>
      <c r="U477" s="157"/>
      <c r="V477" s="157"/>
      <c r="W477" s="157"/>
      <c r="X477" s="157"/>
      <c r="Y477" s="157"/>
      <c r="Z477" s="197"/>
    </row>
    <row r="478" spans="5:26" ht="15" hidden="1">
      <c r="E478" s="149" t="s">
        <v>1558</v>
      </c>
      <c r="H478" s="182">
        <v>1</v>
      </c>
      <c r="I478" s="182" t="s">
        <v>376</v>
      </c>
      <c r="L478" s="142">
        <v>960</v>
      </c>
      <c r="M478" s="143">
        <f t="shared" si="120"/>
        <v>336</v>
      </c>
      <c r="Q478" s="184"/>
      <c r="R478" s="157"/>
      <c r="S478" s="157"/>
      <c r="T478" s="157"/>
      <c r="U478" s="157"/>
      <c r="V478" s="157"/>
      <c r="W478" s="157"/>
      <c r="X478" s="157"/>
      <c r="Y478" s="157"/>
      <c r="Z478" s="197"/>
    </row>
    <row r="479" spans="5:26" ht="15" hidden="1">
      <c r="E479" s="149" t="s">
        <v>1559</v>
      </c>
      <c r="H479" s="182">
        <v>100</v>
      </c>
      <c r="I479" s="182" t="s">
        <v>376</v>
      </c>
      <c r="L479" s="142">
        <v>4.800000000000001</v>
      </c>
      <c r="M479" s="143">
        <f t="shared" si="120"/>
        <v>1.6800000000000004</v>
      </c>
      <c r="Q479" s="184"/>
      <c r="R479" s="157"/>
      <c r="S479" s="157"/>
      <c r="T479" s="157"/>
      <c r="U479" s="157"/>
      <c r="V479" s="157"/>
      <c r="W479" s="157"/>
      <c r="X479" s="157"/>
      <c r="Y479" s="157"/>
      <c r="Z479" s="197"/>
    </row>
    <row r="480" spans="5:26" ht="15" hidden="1">
      <c r="E480" s="149" t="s">
        <v>1560</v>
      </c>
      <c r="H480" s="182">
        <v>500</v>
      </c>
      <c r="I480" s="182" t="s">
        <v>376</v>
      </c>
      <c r="L480" s="142">
        <v>1.2000000000000002</v>
      </c>
      <c r="M480" s="143">
        <f t="shared" si="120"/>
        <v>0.4200000000000001</v>
      </c>
      <c r="Q480" s="184"/>
      <c r="R480" s="157"/>
      <c r="S480" s="157"/>
      <c r="T480" s="157"/>
      <c r="U480" s="157"/>
      <c r="V480" s="157"/>
      <c r="W480" s="157"/>
      <c r="X480" s="157"/>
      <c r="Y480" s="157"/>
      <c r="Z480" s="197"/>
    </row>
    <row r="481" spans="5:26" ht="15" hidden="1">
      <c r="E481" s="149" t="s">
        <v>1561</v>
      </c>
      <c r="H481" s="182">
        <v>1</v>
      </c>
      <c r="I481" s="182" t="s">
        <v>392</v>
      </c>
      <c r="L481" s="142">
        <v>1260</v>
      </c>
      <c r="M481" s="143">
        <f t="shared" si="120"/>
        <v>441</v>
      </c>
      <c r="Q481" s="184"/>
      <c r="R481" s="157"/>
      <c r="S481" s="157"/>
      <c r="T481" s="157"/>
      <c r="U481" s="157"/>
      <c r="V481" s="157"/>
      <c r="W481" s="157"/>
      <c r="X481" s="157"/>
      <c r="Y481" s="157"/>
      <c r="Z481" s="197"/>
    </row>
    <row r="482" spans="5:26" ht="15" hidden="1">
      <c r="E482" s="149" t="s">
        <v>1562</v>
      </c>
      <c r="H482" s="182">
        <v>1</v>
      </c>
      <c r="I482" s="182" t="s">
        <v>392</v>
      </c>
      <c r="L482" s="142">
        <v>33.599999999999994</v>
      </c>
      <c r="M482" s="143">
        <f t="shared" si="120"/>
        <v>11.759999999999998</v>
      </c>
      <c r="Q482" s="184"/>
      <c r="R482" s="157"/>
      <c r="S482" s="157"/>
      <c r="T482" s="157"/>
      <c r="U482" s="157"/>
      <c r="V482" s="157"/>
      <c r="W482" s="157"/>
      <c r="X482" s="157"/>
      <c r="Y482" s="157"/>
      <c r="Z482" s="197"/>
    </row>
    <row r="483" spans="5:23" ht="15" hidden="1">
      <c r="E483" s="149" t="s">
        <v>1563</v>
      </c>
      <c r="H483" s="182">
        <v>60</v>
      </c>
      <c r="I483" s="182" t="s">
        <v>1250</v>
      </c>
      <c r="L483" s="142">
        <v>31.200000000000003</v>
      </c>
      <c r="M483" s="143">
        <f t="shared" si="120"/>
        <v>10.920000000000002</v>
      </c>
      <c r="U483" s="229"/>
      <c r="W483" s="229"/>
    </row>
    <row r="484" spans="5:21" ht="15" hidden="1">
      <c r="E484" s="149" t="s">
        <v>1564</v>
      </c>
      <c r="H484" s="182">
        <v>250</v>
      </c>
      <c r="I484" s="182" t="s">
        <v>376</v>
      </c>
      <c r="L484" s="142">
        <v>2.4000000000000004</v>
      </c>
      <c r="M484" s="143">
        <f t="shared" si="120"/>
        <v>0.8400000000000002</v>
      </c>
      <c r="S484" s="229"/>
      <c r="U484" s="229"/>
    </row>
    <row r="485" spans="5:21" ht="15" hidden="1">
      <c r="E485" s="149" t="s">
        <v>1565</v>
      </c>
      <c r="H485" s="182">
        <v>100</v>
      </c>
      <c r="I485" s="182" t="s">
        <v>376</v>
      </c>
      <c r="L485" s="142">
        <v>1.2000000000000002</v>
      </c>
      <c r="M485" s="143">
        <f t="shared" si="120"/>
        <v>0.4200000000000001</v>
      </c>
      <c r="S485" s="229"/>
      <c r="U485" s="229"/>
    </row>
    <row r="486" spans="5:13" ht="15" hidden="1">
      <c r="E486" s="149" t="s">
        <v>1567</v>
      </c>
      <c r="H486" s="182">
        <v>30</v>
      </c>
      <c r="I486" s="182" t="s">
        <v>376</v>
      </c>
      <c r="L486" s="142">
        <v>8.399999999999999</v>
      </c>
      <c r="M486" s="143">
        <f t="shared" si="120"/>
        <v>2.9399999999999995</v>
      </c>
    </row>
    <row r="487" spans="5:13" ht="15" hidden="1">
      <c r="E487" s="149" t="s">
        <v>1569</v>
      </c>
      <c r="H487" s="182">
        <v>100</v>
      </c>
      <c r="I487" s="182" t="s">
        <v>1250</v>
      </c>
      <c r="L487" s="142">
        <v>84</v>
      </c>
      <c r="M487" s="143">
        <f t="shared" si="120"/>
        <v>29.400000000000002</v>
      </c>
    </row>
    <row r="488" ht="15" hidden="1"/>
    <row r="542" ht="15"/>
    <row r="543" ht="15"/>
    <row r="544" ht="15"/>
    <row r="550" ht="15"/>
    <row r="551" ht="15"/>
    <row r="552" ht="15"/>
    <row r="699" ht="15"/>
    <row r="700" ht="15"/>
    <row r="701" ht="15"/>
  </sheetData>
  <sheetProtection/>
  <printOptions horizontalCentered="1"/>
  <pageMargins left="0.35433070866141736" right="0.1968503937007874" top="0.7874015748031497" bottom="0.7874015748031497" header="0.31496062992125984" footer="0.31496062992125984"/>
  <pageSetup horizontalDpi="300" verticalDpi="300" orientation="landscape" paperSize="5" r:id="rId3"/>
  <headerFooter alignWithMargins="0">
    <oddHeader>&amp;C&amp;"Cordia New,ตัวหนา"&amp;18แผนจัดซื้อยาใน/นอกบัญชียาหลักแห่งชาติ  โรงพยาบาลน้ำยืน  ประจำปีงบประมาณ  2565</oddHeader>
    <oddFooter>&amp;C&amp;A&amp;Rหน้าที่ &amp;ห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1"/>
  <sheetViews>
    <sheetView view="pageLayout" workbookViewId="0" topLeftCell="B1">
      <selection activeCell="X72" sqref="A1:X72"/>
    </sheetView>
  </sheetViews>
  <sheetFormatPr defaultColWidth="9.140625" defaultRowHeight="21.75"/>
  <cols>
    <col min="1" max="1" width="9.140625" style="182" hidden="1" customWidth="1"/>
    <col min="2" max="2" width="5.421875" style="182" customWidth="1"/>
    <col min="3" max="3" width="9.8515625" style="182" hidden="1" customWidth="1"/>
    <col min="4" max="4" width="26.57421875" style="149" customWidth="1"/>
    <col min="5" max="5" width="7.421875" style="149" hidden="1" customWidth="1"/>
    <col min="6" max="6" width="7.421875" style="182" customWidth="1"/>
    <col min="7" max="7" width="7.8515625" style="182" customWidth="1"/>
    <col min="8" max="8" width="6.00390625" style="182" customWidth="1"/>
    <col min="9" max="9" width="6.421875" style="262" customWidth="1"/>
    <col min="10" max="10" width="7.57421875" style="182" customWidth="1"/>
    <col min="11" max="11" width="10.00390625" style="182" customWidth="1"/>
    <col min="12" max="12" width="8.00390625" style="182" customWidth="1"/>
    <col min="13" max="13" width="10.421875" style="182" customWidth="1"/>
    <col min="14" max="14" width="9.8515625" style="182" customWidth="1"/>
    <col min="15" max="15" width="12.8515625" style="182" customWidth="1"/>
    <col min="16" max="16" width="6.8515625" style="182" customWidth="1"/>
    <col min="17" max="17" width="8.28125" style="182" customWidth="1"/>
    <col min="18" max="18" width="6.8515625" style="182" customWidth="1"/>
    <col min="19" max="19" width="8.8515625" style="182" customWidth="1"/>
    <col min="20" max="20" width="6.57421875" style="149" customWidth="1"/>
    <col min="21" max="21" width="8.421875" style="149" customWidth="1"/>
    <col min="22" max="22" width="6.28125" style="149" customWidth="1"/>
    <col min="23" max="23" width="8.8515625" style="149" customWidth="1"/>
    <col min="24" max="24" width="6.421875" style="149" customWidth="1"/>
    <col min="25" max="25" width="5.28125" style="149" customWidth="1"/>
    <col min="26" max="26" width="5.8515625" style="149" customWidth="1"/>
    <col min="27" max="27" width="5.00390625" style="149" customWidth="1"/>
    <col min="28" max="28" width="9.8515625" style="149" customWidth="1"/>
    <col min="29" max="29" width="10.00390625" style="149" customWidth="1"/>
    <col min="30" max="30" width="8.8515625" style="149" customWidth="1"/>
    <col min="31" max="31" width="13.7109375" style="150" customWidth="1"/>
    <col min="32" max="32" width="8.8515625" style="149" customWidth="1"/>
    <col min="33" max="33" width="12.00390625" style="149" customWidth="1"/>
    <col min="34" max="16384" width="8.8515625" style="149" customWidth="1"/>
  </cols>
  <sheetData>
    <row r="1" spans="1:33" ht="15">
      <c r="A1" s="130" t="s">
        <v>1199</v>
      </c>
      <c r="B1" s="237" t="s">
        <v>2</v>
      </c>
      <c r="C1" s="134" t="s">
        <v>1213</v>
      </c>
      <c r="D1" s="237" t="s">
        <v>1293</v>
      </c>
      <c r="E1" s="252" t="s">
        <v>1202</v>
      </c>
      <c r="F1" s="237" t="s">
        <v>1579</v>
      </c>
      <c r="G1" s="236" t="s">
        <v>1203</v>
      </c>
      <c r="H1" s="253"/>
      <c r="I1" s="254" t="s">
        <v>1205</v>
      </c>
      <c r="J1" s="235"/>
      <c r="K1" s="236" t="s">
        <v>0</v>
      </c>
      <c r="L1" s="236" t="s">
        <v>1214</v>
      </c>
      <c r="M1" s="236" t="s">
        <v>0</v>
      </c>
      <c r="N1" s="237" t="s">
        <v>1390</v>
      </c>
      <c r="O1" s="236" t="s">
        <v>1288</v>
      </c>
      <c r="P1" s="255" t="s">
        <v>1289</v>
      </c>
      <c r="Q1" s="235"/>
      <c r="R1" s="255" t="s">
        <v>1290</v>
      </c>
      <c r="S1" s="256"/>
      <c r="T1" s="255" t="s">
        <v>1291</v>
      </c>
      <c r="U1" s="235"/>
      <c r="V1" s="255" t="s">
        <v>1292</v>
      </c>
      <c r="W1" s="256"/>
      <c r="X1" s="203" t="s">
        <v>608</v>
      </c>
      <c r="AA1" s="149" t="s">
        <v>1318</v>
      </c>
      <c r="AB1" s="149" t="s">
        <v>1297</v>
      </c>
      <c r="AC1" s="149" t="s">
        <v>6</v>
      </c>
      <c r="AD1" s="149" t="s">
        <v>1</v>
      </c>
      <c r="AE1" s="150" t="s">
        <v>1303</v>
      </c>
      <c r="AF1" s="149" t="s">
        <v>4</v>
      </c>
      <c r="AG1" s="149" t="s">
        <v>1304</v>
      </c>
    </row>
    <row r="2" spans="1:29" ht="15">
      <c r="A2" s="257"/>
      <c r="B2" s="241"/>
      <c r="C2" s="252"/>
      <c r="D2" s="252"/>
      <c r="E2" s="252"/>
      <c r="F2" s="241" t="s">
        <v>1204</v>
      </c>
      <c r="G2" s="252" t="s">
        <v>1204</v>
      </c>
      <c r="H2" s="240">
        <v>2562</v>
      </c>
      <c r="I2" s="240">
        <v>2563</v>
      </c>
      <c r="J2" s="136">
        <v>2564</v>
      </c>
      <c r="K2" s="136" t="s">
        <v>1537</v>
      </c>
      <c r="L2" s="136" t="s">
        <v>4</v>
      </c>
      <c r="M2" s="136" t="s">
        <v>1538</v>
      </c>
      <c r="N2" s="241" t="s">
        <v>1286</v>
      </c>
      <c r="O2" s="258"/>
      <c r="P2" s="258" t="s">
        <v>5</v>
      </c>
      <c r="Q2" s="241" t="s">
        <v>1208</v>
      </c>
      <c r="R2" s="241" t="s">
        <v>5</v>
      </c>
      <c r="S2" s="259" t="s">
        <v>1208</v>
      </c>
      <c r="T2" s="258" t="s">
        <v>5</v>
      </c>
      <c r="U2" s="241" t="s">
        <v>1208</v>
      </c>
      <c r="V2" s="241" t="s">
        <v>5</v>
      </c>
      <c r="W2" s="260" t="s">
        <v>1208</v>
      </c>
      <c r="X2" s="261"/>
      <c r="AB2" s="149" t="s">
        <v>1494</v>
      </c>
      <c r="AC2" s="149" t="s">
        <v>1207</v>
      </c>
    </row>
    <row r="3" spans="1:31" ht="15">
      <c r="A3" s="140">
        <v>10949</v>
      </c>
      <c r="B3" s="221">
        <v>1</v>
      </c>
      <c r="C3" s="221"/>
      <c r="D3" s="187" t="s">
        <v>233</v>
      </c>
      <c r="E3" s="187"/>
      <c r="F3" s="140">
        <v>1</v>
      </c>
      <c r="G3" s="140" t="s">
        <v>409</v>
      </c>
      <c r="H3" s="142">
        <v>60</v>
      </c>
      <c r="I3" s="143">
        <v>26</v>
      </c>
      <c r="J3" s="143">
        <f>AE3</f>
        <v>126.66666666666666</v>
      </c>
      <c r="K3" s="142">
        <v>140</v>
      </c>
      <c r="L3" s="142">
        <v>40</v>
      </c>
      <c r="M3" s="142">
        <f>K3-L3</f>
        <v>100</v>
      </c>
      <c r="N3" s="140">
        <v>35</v>
      </c>
      <c r="O3" s="159">
        <f aca="true" t="shared" si="0" ref="O3:O44">N3*M3</f>
        <v>3500</v>
      </c>
      <c r="P3" s="140">
        <v>0</v>
      </c>
      <c r="Q3" s="151">
        <f aca="true" t="shared" si="1" ref="Q3:Q20">P3*N3</f>
        <v>0</v>
      </c>
      <c r="R3" s="142">
        <v>50</v>
      </c>
      <c r="S3" s="151">
        <f aca="true" t="shared" si="2" ref="S3:S20">R3*N3</f>
        <v>1750</v>
      </c>
      <c r="T3" s="146">
        <v>0</v>
      </c>
      <c r="U3" s="146">
        <f aca="true" t="shared" si="3" ref="U3:U20">T3*N3</f>
        <v>0</v>
      </c>
      <c r="V3" s="146">
        <v>50</v>
      </c>
      <c r="W3" s="146">
        <f aca="true" t="shared" si="4" ref="W3:W20">V3*N3</f>
        <v>1750</v>
      </c>
      <c r="X3" s="146"/>
      <c r="Y3" s="206">
        <f aca="true" t="shared" si="5" ref="Y3:Y20">M3-Z3</f>
        <v>0</v>
      </c>
      <c r="Z3" s="206">
        <f aca="true" t="shared" si="6" ref="Z3:Z20">P3+R3+T3+V3</f>
        <v>100</v>
      </c>
      <c r="AA3" s="149">
        <f aca="true" t="shared" si="7" ref="AA3:AA20">M3/4</f>
        <v>25</v>
      </c>
      <c r="AB3" s="149">
        <v>95</v>
      </c>
      <c r="AC3" s="149">
        <v>2800</v>
      </c>
      <c r="AD3" s="149">
        <f aca="true" t="shared" si="8" ref="AD3:AD20">AC3/AB3</f>
        <v>29.473684210526315</v>
      </c>
      <c r="AE3" s="150">
        <f aca="true" t="shared" si="9" ref="AE3:AE44">AB3/9*12</f>
        <v>126.66666666666666</v>
      </c>
    </row>
    <row r="4" spans="1:31" ht="15">
      <c r="A4" s="140">
        <v>10949</v>
      </c>
      <c r="B4" s="225">
        <v>2</v>
      </c>
      <c r="C4" s="225"/>
      <c r="D4" s="187" t="s">
        <v>230</v>
      </c>
      <c r="E4" s="187"/>
      <c r="F4" s="140">
        <v>1</v>
      </c>
      <c r="G4" s="140" t="s">
        <v>409</v>
      </c>
      <c r="H4" s="142">
        <v>20</v>
      </c>
      <c r="I4" s="143">
        <v>14</v>
      </c>
      <c r="J4" s="143">
        <f aca="true" t="shared" si="10" ref="J4:J45">AE4</f>
        <v>13.333333333333334</v>
      </c>
      <c r="K4" s="142">
        <v>20</v>
      </c>
      <c r="L4" s="142">
        <v>10</v>
      </c>
      <c r="M4" s="142">
        <f aca="true" t="shared" si="11" ref="M4:M45">K4-L4</f>
        <v>10</v>
      </c>
      <c r="N4" s="140">
        <v>35</v>
      </c>
      <c r="O4" s="159">
        <f t="shared" si="0"/>
        <v>350</v>
      </c>
      <c r="P4" s="140">
        <v>0</v>
      </c>
      <c r="Q4" s="151">
        <f t="shared" si="1"/>
        <v>0</v>
      </c>
      <c r="R4" s="142">
        <v>0</v>
      </c>
      <c r="S4" s="151">
        <f t="shared" si="2"/>
        <v>0</v>
      </c>
      <c r="T4" s="146">
        <v>10</v>
      </c>
      <c r="U4" s="146">
        <f t="shared" si="3"/>
        <v>350</v>
      </c>
      <c r="V4" s="146"/>
      <c r="W4" s="146">
        <f t="shared" si="4"/>
        <v>0</v>
      </c>
      <c r="X4" s="146"/>
      <c r="Y4" s="206">
        <f t="shared" si="5"/>
        <v>0</v>
      </c>
      <c r="Z4" s="206">
        <f t="shared" si="6"/>
        <v>10</v>
      </c>
      <c r="AA4" s="149">
        <f t="shared" si="7"/>
        <v>2.5</v>
      </c>
      <c r="AB4" s="149">
        <v>10</v>
      </c>
      <c r="AC4" s="149">
        <v>350</v>
      </c>
      <c r="AD4" s="149">
        <f t="shared" si="8"/>
        <v>35</v>
      </c>
      <c r="AE4" s="150">
        <f t="shared" si="9"/>
        <v>13.333333333333334</v>
      </c>
    </row>
    <row r="5" spans="1:31" ht="15">
      <c r="A5" s="140">
        <v>10949</v>
      </c>
      <c r="B5" s="221">
        <v>3</v>
      </c>
      <c r="C5" s="221"/>
      <c r="D5" s="187" t="s">
        <v>231</v>
      </c>
      <c r="E5" s="187"/>
      <c r="F5" s="140">
        <v>1</v>
      </c>
      <c r="G5" s="140" t="s">
        <v>409</v>
      </c>
      <c r="H5" s="142">
        <v>32</v>
      </c>
      <c r="I5" s="143">
        <v>2</v>
      </c>
      <c r="J5" s="143">
        <f t="shared" si="10"/>
        <v>13.333333333333334</v>
      </c>
      <c r="K5" s="142">
        <v>20</v>
      </c>
      <c r="L5" s="142">
        <v>10</v>
      </c>
      <c r="M5" s="142">
        <f t="shared" si="11"/>
        <v>10</v>
      </c>
      <c r="N5" s="140">
        <v>35</v>
      </c>
      <c r="O5" s="159">
        <f t="shared" si="0"/>
        <v>350</v>
      </c>
      <c r="P5" s="140">
        <v>0</v>
      </c>
      <c r="Q5" s="151">
        <f t="shared" si="1"/>
        <v>0</v>
      </c>
      <c r="R5" s="142">
        <v>0</v>
      </c>
      <c r="S5" s="151">
        <f t="shared" si="2"/>
        <v>0</v>
      </c>
      <c r="T5" s="146">
        <v>10</v>
      </c>
      <c r="U5" s="146">
        <f t="shared" si="3"/>
        <v>350</v>
      </c>
      <c r="V5" s="146"/>
      <c r="W5" s="146">
        <f t="shared" si="4"/>
        <v>0</v>
      </c>
      <c r="X5" s="146"/>
      <c r="Y5" s="206">
        <f t="shared" si="5"/>
        <v>0</v>
      </c>
      <c r="Z5" s="206">
        <f t="shared" si="6"/>
        <v>10</v>
      </c>
      <c r="AA5" s="149">
        <f t="shared" si="7"/>
        <v>2.5</v>
      </c>
      <c r="AB5" s="149">
        <v>10</v>
      </c>
      <c r="AC5" s="149">
        <v>350</v>
      </c>
      <c r="AD5" s="149">
        <f t="shared" si="8"/>
        <v>35</v>
      </c>
      <c r="AE5" s="150">
        <f t="shared" si="9"/>
        <v>13.333333333333334</v>
      </c>
    </row>
    <row r="6" spans="1:31" ht="15">
      <c r="A6" s="140">
        <v>10949</v>
      </c>
      <c r="B6" s="225">
        <v>4</v>
      </c>
      <c r="C6" s="221"/>
      <c r="D6" s="187" t="s">
        <v>232</v>
      </c>
      <c r="E6" s="187"/>
      <c r="F6" s="140">
        <v>1</v>
      </c>
      <c r="G6" s="140" t="s">
        <v>409</v>
      </c>
      <c r="H6" s="142">
        <v>139</v>
      </c>
      <c r="I6" s="143">
        <v>187</v>
      </c>
      <c r="J6" s="143">
        <f t="shared" si="10"/>
        <v>320</v>
      </c>
      <c r="K6" s="142">
        <v>350</v>
      </c>
      <c r="L6" s="142">
        <v>30</v>
      </c>
      <c r="M6" s="142">
        <f t="shared" si="11"/>
        <v>320</v>
      </c>
      <c r="N6" s="140">
        <v>35</v>
      </c>
      <c r="O6" s="159">
        <f t="shared" si="0"/>
        <v>11200</v>
      </c>
      <c r="P6" s="140">
        <v>80</v>
      </c>
      <c r="Q6" s="151">
        <f t="shared" si="1"/>
        <v>2800</v>
      </c>
      <c r="R6" s="142">
        <v>80</v>
      </c>
      <c r="S6" s="151">
        <f t="shared" si="2"/>
        <v>2800</v>
      </c>
      <c r="T6" s="146">
        <v>80</v>
      </c>
      <c r="U6" s="146">
        <f t="shared" si="3"/>
        <v>2800</v>
      </c>
      <c r="V6" s="146">
        <v>80</v>
      </c>
      <c r="W6" s="146">
        <f t="shared" si="4"/>
        <v>2800</v>
      </c>
      <c r="X6" s="146"/>
      <c r="Y6" s="206">
        <f t="shared" si="5"/>
        <v>0</v>
      </c>
      <c r="Z6" s="206">
        <f t="shared" si="6"/>
        <v>320</v>
      </c>
      <c r="AA6" s="149">
        <f t="shared" si="7"/>
        <v>80</v>
      </c>
      <c r="AB6" s="149">
        <v>240</v>
      </c>
      <c r="AC6" s="149">
        <v>8400</v>
      </c>
      <c r="AD6" s="149">
        <f t="shared" si="8"/>
        <v>35</v>
      </c>
      <c r="AE6" s="150">
        <f t="shared" si="9"/>
        <v>320</v>
      </c>
    </row>
    <row r="7" spans="1:31" ht="15">
      <c r="A7" s="140">
        <v>10949</v>
      </c>
      <c r="B7" s="221">
        <v>5</v>
      </c>
      <c r="C7" s="225"/>
      <c r="D7" s="187" t="s">
        <v>234</v>
      </c>
      <c r="E7" s="187"/>
      <c r="F7" s="140">
        <v>1</v>
      </c>
      <c r="G7" s="140" t="s">
        <v>410</v>
      </c>
      <c r="H7" s="142">
        <v>23</v>
      </c>
      <c r="I7" s="143">
        <v>28</v>
      </c>
      <c r="J7" s="143">
        <f t="shared" si="10"/>
        <v>30.666666666666664</v>
      </c>
      <c r="K7" s="142">
        <v>30</v>
      </c>
      <c r="L7" s="142">
        <v>2</v>
      </c>
      <c r="M7" s="142">
        <f t="shared" si="11"/>
        <v>28</v>
      </c>
      <c r="N7" s="140">
        <v>3370.5</v>
      </c>
      <c r="O7" s="159">
        <f t="shared" si="0"/>
        <v>94374</v>
      </c>
      <c r="P7" s="140">
        <v>7</v>
      </c>
      <c r="Q7" s="151">
        <f t="shared" si="1"/>
        <v>23593.5</v>
      </c>
      <c r="R7" s="142">
        <v>7</v>
      </c>
      <c r="S7" s="151">
        <f t="shared" si="2"/>
        <v>23593.5</v>
      </c>
      <c r="T7" s="146">
        <v>7</v>
      </c>
      <c r="U7" s="146">
        <f t="shared" si="3"/>
        <v>23593.5</v>
      </c>
      <c r="V7" s="146">
        <v>7</v>
      </c>
      <c r="W7" s="146">
        <f t="shared" si="4"/>
        <v>23593.5</v>
      </c>
      <c r="X7" s="146"/>
      <c r="Y7" s="206">
        <f t="shared" si="5"/>
        <v>0</v>
      </c>
      <c r="Z7" s="206">
        <f t="shared" si="6"/>
        <v>28</v>
      </c>
      <c r="AA7" s="149">
        <f t="shared" si="7"/>
        <v>7</v>
      </c>
      <c r="AB7" s="149">
        <v>23</v>
      </c>
      <c r="AC7" s="149">
        <v>77521.5</v>
      </c>
      <c r="AD7" s="149">
        <f t="shared" si="8"/>
        <v>3370.5</v>
      </c>
      <c r="AE7" s="150">
        <f t="shared" si="9"/>
        <v>30.666666666666664</v>
      </c>
    </row>
    <row r="8" spans="1:31" ht="15">
      <c r="A8" s="140">
        <v>10949</v>
      </c>
      <c r="B8" s="225">
        <v>6</v>
      </c>
      <c r="C8" s="221"/>
      <c r="D8" s="187" t="s">
        <v>235</v>
      </c>
      <c r="E8" s="187"/>
      <c r="F8" s="140">
        <v>1</v>
      </c>
      <c r="G8" s="140" t="s">
        <v>411</v>
      </c>
      <c r="H8" s="142">
        <v>67</v>
      </c>
      <c r="I8" s="143">
        <v>60</v>
      </c>
      <c r="J8" s="143">
        <f t="shared" si="10"/>
        <v>64</v>
      </c>
      <c r="K8" s="142">
        <v>65</v>
      </c>
      <c r="L8" s="142">
        <v>17</v>
      </c>
      <c r="M8" s="142">
        <f t="shared" si="11"/>
        <v>48</v>
      </c>
      <c r="N8" s="140">
        <v>221.49</v>
      </c>
      <c r="O8" s="159">
        <f t="shared" si="0"/>
        <v>10631.52</v>
      </c>
      <c r="P8" s="140">
        <v>0</v>
      </c>
      <c r="Q8" s="151">
        <f t="shared" si="1"/>
        <v>0</v>
      </c>
      <c r="R8" s="142">
        <v>24</v>
      </c>
      <c r="S8" s="151">
        <f t="shared" si="2"/>
        <v>5315.76</v>
      </c>
      <c r="T8" s="146">
        <v>0</v>
      </c>
      <c r="U8" s="146">
        <f t="shared" si="3"/>
        <v>0</v>
      </c>
      <c r="V8" s="146">
        <v>24</v>
      </c>
      <c r="W8" s="146">
        <f t="shared" si="4"/>
        <v>5315.76</v>
      </c>
      <c r="X8" s="146"/>
      <c r="Y8" s="206">
        <f t="shared" si="5"/>
        <v>0</v>
      </c>
      <c r="Z8" s="206">
        <f t="shared" si="6"/>
        <v>48</v>
      </c>
      <c r="AA8" s="149">
        <f t="shared" si="7"/>
        <v>12</v>
      </c>
      <c r="AB8" s="149">
        <v>48</v>
      </c>
      <c r="AC8" s="149">
        <v>10631.52</v>
      </c>
      <c r="AD8" s="149">
        <f t="shared" si="8"/>
        <v>221.49</v>
      </c>
      <c r="AE8" s="150">
        <f t="shared" si="9"/>
        <v>64</v>
      </c>
    </row>
    <row r="9" spans="1:31" ht="15">
      <c r="A9" s="140">
        <v>10949</v>
      </c>
      <c r="B9" s="221">
        <v>7</v>
      </c>
      <c r="C9" s="221"/>
      <c r="D9" s="187" t="s">
        <v>454</v>
      </c>
      <c r="E9" s="187"/>
      <c r="F9" s="140">
        <v>1</v>
      </c>
      <c r="G9" s="140" t="s">
        <v>1348</v>
      </c>
      <c r="H9" s="142">
        <f>21*50</f>
        <v>1050</v>
      </c>
      <c r="I9" s="143">
        <f>16*50</f>
        <v>800</v>
      </c>
      <c r="J9" s="143">
        <f>AE9*50</f>
        <v>333.33333333333337</v>
      </c>
      <c r="K9" s="142">
        <v>900</v>
      </c>
      <c r="L9" s="142">
        <v>100</v>
      </c>
      <c r="M9" s="142">
        <f t="shared" si="11"/>
        <v>800</v>
      </c>
      <c r="N9" s="140">
        <v>175</v>
      </c>
      <c r="O9" s="159">
        <f t="shared" si="0"/>
        <v>140000</v>
      </c>
      <c r="P9" s="140">
        <v>200</v>
      </c>
      <c r="Q9" s="151">
        <f t="shared" si="1"/>
        <v>35000</v>
      </c>
      <c r="R9" s="142">
        <v>200</v>
      </c>
      <c r="S9" s="151">
        <f t="shared" si="2"/>
        <v>35000</v>
      </c>
      <c r="T9" s="146">
        <v>200</v>
      </c>
      <c r="U9" s="146">
        <f t="shared" si="3"/>
        <v>35000</v>
      </c>
      <c r="V9" s="146">
        <v>200</v>
      </c>
      <c r="W9" s="146">
        <f t="shared" si="4"/>
        <v>35000</v>
      </c>
      <c r="X9" s="146"/>
      <c r="Y9" s="206">
        <f t="shared" si="5"/>
        <v>0</v>
      </c>
      <c r="Z9" s="206">
        <f t="shared" si="6"/>
        <v>800</v>
      </c>
      <c r="AA9" s="149">
        <f t="shared" si="7"/>
        <v>200</v>
      </c>
      <c r="AB9" s="149">
        <v>5</v>
      </c>
      <c r="AC9" s="149">
        <v>12500</v>
      </c>
      <c r="AD9" s="149">
        <f t="shared" si="8"/>
        <v>2500</v>
      </c>
      <c r="AE9" s="150">
        <f t="shared" si="9"/>
        <v>6.666666666666667</v>
      </c>
    </row>
    <row r="10" spans="1:31" ht="15">
      <c r="A10" s="140">
        <v>10949</v>
      </c>
      <c r="B10" s="225">
        <v>8</v>
      </c>
      <c r="C10" s="225"/>
      <c r="D10" s="187" t="s">
        <v>236</v>
      </c>
      <c r="E10" s="187"/>
      <c r="F10" s="140">
        <v>1</v>
      </c>
      <c r="G10" s="140" t="s">
        <v>407</v>
      </c>
      <c r="H10" s="142">
        <v>1</v>
      </c>
      <c r="I10" s="143">
        <v>3</v>
      </c>
      <c r="J10" s="143">
        <f t="shared" si="10"/>
        <v>0</v>
      </c>
      <c r="K10" s="142">
        <v>1</v>
      </c>
      <c r="L10" s="142">
        <v>12</v>
      </c>
      <c r="M10" s="142">
        <v>0</v>
      </c>
      <c r="N10" s="140">
        <v>37.5</v>
      </c>
      <c r="O10" s="159">
        <f t="shared" si="0"/>
        <v>0</v>
      </c>
      <c r="P10" s="140">
        <v>0</v>
      </c>
      <c r="Q10" s="151">
        <f t="shared" si="1"/>
        <v>0</v>
      </c>
      <c r="R10" s="142">
        <v>0</v>
      </c>
      <c r="S10" s="151">
        <f t="shared" si="2"/>
        <v>0</v>
      </c>
      <c r="T10" s="146">
        <v>0</v>
      </c>
      <c r="U10" s="146">
        <f t="shared" si="3"/>
        <v>0</v>
      </c>
      <c r="V10" s="146">
        <v>0</v>
      </c>
      <c r="W10" s="146">
        <f t="shared" si="4"/>
        <v>0</v>
      </c>
      <c r="X10" s="146"/>
      <c r="Y10" s="206">
        <f t="shared" si="5"/>
        <v>0</v>
      </c>
      <c r="Z10" s="206">
        <f t="shared" si="6"/>
        <v>0</v>
      </c>
      <c r="AA10" s="149">
        <f t="shared" si="7"/>
        <v>0</v>
      </c>
      <c r="AD10" s="149" t="e">
        <f t="shared" si="8"/>
        <v>#DIV/0!</v>
      </c>
      <c r="AE10" s="150">
        <f t="shared" si="9"/>
        <v>0</v>
      </c>
    </row>
    <row r="11" spans="1:31" ht="15">
      <c r="A11" s="140">
        <v>10949</v>
      </c>
      <c r="B11" s="221">
        <v>9</v>
      </c>
      <c r="C11" s="221"/>
      <c r="D11" s="146" t="s">
        <v>424</v>
      </c>
      <c r="E11" s="146"/>
      <c r="F11" s="140">
        <v>50</v>
      </c>
      <c r="G11" s="140" t="s">
        <v>412</v>
      </c>
      <c r="H11" s="142">
        <v>161</v>
      </c>
      <c r="I11" s="143">
        <v>280</v>
      </c>
      <c r="J11" s="143">
        <f t="shared" si="10"/>
        <v>224</v>
      </c>
      <c r="K11" s="142">
        <v>240</v>
      </c>
      <c r="L11" s="142">
        <v>0</v>
      </c>
      <c r="M11" s="142">
        <f t="shared" si="11"/>
        <v>240</v>
      </c>
      <c r="N11" s="140">
        <f>1.0521*50</f>
        <v>52.605000000000004</v>
      </c>
      <c r="O11" s="159">
        <f t="shared" si="0"/>
        <v>12625.2</v>
      </c>
      <c r="P11" s="140">
        <v>60</v>
      </c>
      <c r="Q11" s="151">
        <f t="shared" si="1"/>
        <v>3156.3</v>
      </c>
      <c r="R11" s="142">
        <v>60</v>
      </c>
      <c r="S11" s="151">
        <f t="shared" si="2"/>
        <v>3156.3</v>
      </c>
      <c r="T11" s="146">
        <v>60</v>
      </c>
      <c r="U11" s="146">
        <f t="shared" si="3"/>
        <v>3156.3</v>
      </c>
      <c r="V11" s="146">
        <v>60</v>
      </c>
      <c r="W11" s="146">
        <f t="shared" si="4"/>
        <v>3156.3</v>
      </c>
      <c r="X11" s="146"/>
      <c r="Y11" s="206">
        <f t="shared" si="5"/>
        <v>0</v>
      </c>
      <c r="Z11" s="206">
        <f t="shared" si="6"/>
        <v>240</v>
      </c>
      <c r="AA11" s="149">
        <f t="shared" si="7"/>
        <v>60</v>
      </c>
      <c r="AB11" s="149">
        <v>168</v>
      </c>
      <c r="AC11" s="149">
        <f>9600+9463</f>
        <v>19063</v>
      </c>
      <c r="AD11" s="149">
        <f t="shared" si="8"/>
        <v>113.4702380952381</v>
      </c>
      <c r="AE11" s="150">
        <f t="shared" si="9"/>
        <v>224</v>
      </c>
    </row>
    <row r="12" spans="1:31" ht="15">
      <c r="A12" s="140">
        <v>10949</v>
      </c>
      <c r="B12" s="225">
        <v>10</v>
      </c>
      <c r="C12" s="225"/>
      <c r="D12" s="270" t="s">
        <v>546</v>
      </c>
      <c r="E12" s="270"/>
      <c r="F12" s="140">
        <v>1</v>
      </c>
      <c r="G12" s="140" t="s">
        <v>410</v>
      </c>
      <c r="H12" s="142">
        <v>6</v>
      </c>
      <c r="I12" s="143">
        <v>14</v>
      </c>
      <c r="J12" s="143">
        <f t="shared" si="10"/>
        <v>0</v>
      </c>
      <c r="K12" s="142">
        <v>0</v>
      </c>
      <c r="L12" s="142">
        <v>7</v>
      </c>
      <c r="M12" s="142">
        <v>0</v>
      </c>
      <c r="N12" s="151">
        <v>1144.9</v>
      </c>
      <c r="O12" s="159">
        <f t="shared" si="0"/>
        <v>0</v>
      </c>
      <c r="P12" s="140">
        <v>0</v>
      </c>
      <c r="Q12" s="151">
        <f t="shared" si="1"/>
        <v>0</v>
      </c>
      <c r="R12" s="142">
        <v>0</v>
      </c>
      <c r="S12" s="151">
        <f t="shared" si="2"/>
        <v>0</v>
      </c>
      <c r="T12" s="146">
        <v>0</v>
      </c>
      <c r="U12" s="146">
        <f t="shared" si="3"/>
        <v>0</v>
      </c>
      <c r="V12" s="146">
        <v>0</v>
      </c>
      <c r="W12" s="146">
        <f t="shared" si="4"/>
        <v>0</v>
      </c>
      <c r="X12" s="146"/>
      <c r="Y12" s="206">
        <f t="shared" si="5"/>
        <v>0</v>
      </c>
      <c r="Z12" s="206">
        <f t="shared" si="6"/>
        <v>0</v>
      </c>
      <c r="AA12" s="149">
        <f t="shared" si="7"/>
        <v>0</v>
      </c>
      <c r="AD12" s="149" t="e">
        <f t="shared" si="8"/>
        <v>#DIV/0!</v>
      </c>
      <c r="AE12" s="150">
        <f t="shared" si="9"/>
        <v>0</v>
      </c>
    </row>
    <row r="13" spans="1:31" ht="15">
      <c r="A13" s="140">
        <v>10949</v>
      </c>
      <c r="B13" s="221">
        <v>11</v>
      </c>
      <c r="C13" s="221"/>
      <c r="D13" s="187" t="s">
        <v>237</v>
      </c>
      <c r="E13" s="187"/>
      <c r="F13" s="140">
        <v>1</v>
      </c>
      <c r="G13" s="140" t="s">
        <v>410</v>
      </c>
      <c r="H13" s="142">
        <v>21</v>
      </c>
      <c r="I13" s="143">
        <v>26</v>
      </c>
      <c r="J13" s="143">
        <f t="shared" si="10"/>
        <v>20</v>
      </c>
      <c r="K13" s="142">
        <v>24</v>
      </c>
      <c r="L13" s="142">
        <v>0</v>
      </c>
      <c r="M13" s="142">
        <f t="shared" si="11"/>
        <v>24</v>
      </c>
      <c r="N13" s="140">
        <v>2140</v>
      </c>
      <c r="O13" s="159">
        <f t="shared" si="0"/>
        <v>51360</v>
      </c>
      <c r="P13" s="140">
        <v>6</v>
      </c>
      <c r="Q13" s="151">
        <f t="shared" si="1"/>
        <v>12840</v>
      </c>
      <c r="R13" s="142">
        <v>6</v>
      </c>
      <c r="S13" s="151">
        <f t="shared" si="2"/>
        <v>12840</v>
      </c>
      <c r="T13" s="146">
        <v>6</v>
      </c>
      <c r="U13" s="146">
        <f t="shared" si="3"/>
        <v>12840</v>
      </c>
      <c r="V13" s="146">
        <v>6</v>
      </c>
      <c r="W13" s="146">
        <f t="shared" si="4"/>
        <v>12840</v>
      </c>
      <c r="X13" s="146"/>
      <c r="Y13" s="206">
        <f t="shared" si="5"/>
        <v>0</v>
      </c>
      <c r="Z13" s="206">
        <f t="shared" si="6"/>
        <v>24</v>
      </c>
      <c r="AA13" s="149">
        <f t="shared" si="7"/>
        <v>6</v>
      </c>
      <c r="AB13" s="149">
        <v>15</v>
      </c>
      <c r="AC13" s="149">
        <v>32100</v>
      </c>
      <c r="AD13" s="149">
        <f t="shared" si="8"/>
        <v>2140</v>
      </c>
      <c r="AE13" s="150">
        <f t="shared" si="9"/>
        <v>20</v>
      </c>
    </row>
    <row r="14" spans="1:31" ht="15">
      <c r="A14" s="140">
        <v>10949</v>
      </c>
      <c r="B14" s="225">
        <v>12</v>
      </c>
      <c r="C14" s="221"/>
      <c r="D14" s="187" t="s">
        <v>238</v>
      </c>
      <c r="E14" s="187"/>
      <c r="F14" s="140">
        <v>1</v>
      </c>
      <c r="G14" s="140" t="s">
        <v>407</v>
      </c>
      <c r="H14" s="142">
        <v>0</v>
      </c>
      <c r="I14" s="143">
        <v>8</v>
      </c>
      <c r="J14" s="143">
        <f t="shared" si="10"/>
        <v>0</v>
      </c>
      <c r="K14" s="142">
        <v>10</v>
      </c>
      <c r="L14" s="142">
        <v>32</v>
      </c>
      <c r="M14" s="142">
        <v>0</v>
      </c>
      <c r="N14" s="140">
        <v>15</v>
      </c>
      <c r="O14" s="159">
        <f t="shared" si="0"/>
        <v>0</v>
      </c>
      <c r="P14" s="140">
        <v>0</v>
      </c>
      <c r="Q14" s="151">
        <f t="shared" si="1"/>
        <v>0</v>
      </c>
      <c r="R14" s="140">
        <v>0</v>
      </c>
      <c r="S14" s="151">
        <f t="shared" si="2"/>
        <v>0</v>
      </c>
      <c r="T14" s="140">
        <v>0</v>
      </c>
      <c r="U14" s="146">
        <f t="shared" si="3"/>
        <v>0</v>
      </c>
      <c r="V14" s="140">
        <v>0</v>
      </c>
      <c r="W14" s="146">
        <f t="shared" si="4"/>
        <v>0</v>
      </c>
      <c r="X14" s="146"/>
      <c r="Y14" s="206">
        <f t="shared" si="5"/>
        <v>0</v>
      </c>
      <c r="Z14" s="206">
        <f t="shared" si="6"/>
        <v>0</v>
      </c>
      <c r="AA14" s="149">
        <f t="shared" si="7"/>
        <v>0</v>
      </c>
      <c r="AD14" s="149" t="e">
        <f t="shared" si="8"/>
        <v>#DIV/0!</v>
      </c>
      <c r="AE14" s="150">
        <f t="shared" si="9"/>
        <v>0</v>
      </c>
    </row>
    <row r="15" spans="1:31" ht="15">
      <c r="A15" s="140">
        <v>10949</v>
      </c>
      <c r="B15" s="221">
        <v>13</v>
      </c>
      <c r="C15" s="225"/>
      <c r="D15" s="187" t="s">
        <v>251</v>
      </c>
      <c r="E15" s="187"/>
      <c r="F15" s="140">
        <v>100</v>
      </c>
      <c r="G15" s="140" t="s">
        <v>1238</v>
      </c>
      <c r="H15" s="142">
        <v>14</v>
      </c>
      <c r="I15" s="143">
        <v>9</v>
      </c>
      <c r="J15" s="143">
        <f t="shared" si="10"/>
        <v>13.333333333333334</v>
      </c>
      <c r="K15" s="142">
        <v>13</v>
      </c>
      <c r="L15" s="140">
        <v>3</v>
      </c>
      <c r="M15" s="142">
        <f t="shared" si="11"/>
        <v>10</v>
      </c>
      <c r="N15" s="140">
        <v>140</v>
      </c>
      <c r="O15" s="159">
        <f t="shared" si="0"/>
        <v>1400</v>
      </c>
      <c r="P15" s="140">
        <v>0</v>
      </c>
      <c r="Q15" s="151">
        <f t="shared" si="1"/>
        <v>0</v>
      </c>
      <c r="R15" s="142">
        <v>0</v>
      </c>
      <c r="S15" s="151">
        <f t="shared" si="2"/>
        <v>0</v>
      </c>
      <c r="T15" s="140">
        <v>10</v>
      </c>
      <c r="U15" s="146">
        <f t="shared" si="3"/>
        <v>1400</v>
      </c>
      <c r="V15" s="140">
        <v>0</v>
      </c>
      <c r="W15" s="146">
        <f t="shared" si="4"/>
        <v>0</v>
      </c>
      <c r="X15" s="146"/>
      <c r="Y15" s="206">
        <f t="shared" si="5"/>
        <v>0</v>
      </c>
      <c r="Z15" s="206">
        <f t="shared" si="6"/>
        <v>10</v>
      </c>
      <c r="AA15" s="149">
        <f t="shared" si="7"/>
        <v>2.5</v>
      </c>
      <c r="AB15" s="149">
        <v>10</v>
      </c>
      <c r="AC15" s="149">
        <v>1400</v>
      </c>
      <c r="AD15" s="149">
        <f t="shared" si="8"/>
        <v>140</v>
      </c>
      <c r="AE15" s="150">
        <f t="shared" si="9"/>
        <v>13.333333333333334</v>
      </c>
    </row>
    <row r="16" spans="1:31" ht="15">
      <c r="A16" s="140">
        <v>10949</v>
      </c>
      <c r="B16" s="225">
        <v>14</v>
      </c>
      <c r="C16" s="221"/>
      <c r="D16" s="187" t="s">
        <v>253</v>
      </c>
      <c r="E16" s="187"/>
      <c r="F16" s="140">
        <v>1</v>
      </c>
      <c r="G16" s="140" t="s">
        <v>1239</v>
      </c>
      <c r="H16" s="142">
        <v>0</v>
      </c>
      <c r="I16" s="143">
        <v>4</v>
      </c>
      <c r="J16" s="143">
        <f t="shared" si="10"/>
        <v>0</v>
      </c>
      <c r="K16" s="142">
        <v>10</v>
      </c>
      <c r="L16" s="271">
        <v>0</v>
      </c>
      <c r="M16" s="142">
        <f t="shared" si="11"/>
        <v>10</v>
      </c>
      <c r="N16" s="140">
        <v>40</v>
      </c>
      <c r="O16" s="159">
        <f t="shared" si="0"/>
        <v>400</v>
      </c>
      <c r="P16" s="140">
        <v>10</v>
      </c>
      <c r="Q16" s="151">
        <f t="shared" si="1"/>
        <v>400</v>
      </c>
      <c r="R16" s="142">
        <v>0</v>
      </c>
      <c r="S16" s="151">
        <f t="shared" si="2"/>
        <v>0</v>
      </c>
      <c r="T16" s="140">
        <v>0</v>
      </c>
      <c r="U16" s="146">
        <f t="shared" si="3"/>
        <v>0</v>
      </c>
      <c r="V16" s="140">
        <v>0</v>
      </c>
      <c r="W16" s="146">
        <f t="shared" si="4"/>
        <v>0</v>
      </c>
      <c r="X16" s="146"/>
      <c r="Y16" s="206">
        <f t="shared" si="5"/>
        <v>0</v>
      </c>
      <c r="Z16" s="206">
        <f t="shared" si="6"/>
        <v>10</v>
      </c>
      <c r="AA16" s="149">
        <f t="shared" si="7"/>
        <v>2.5</v>
      </c>
      <c r="AD16" s="149" t="e">
        <f t="shared" si="8"/>
        <v>#DIV/0!</v>
      </c>
      <c r="AE16" s="150">
        <f t="shared" si="9"/>
        <v>0</v>
      </c>
    </row>
    <row r="17" spans="1:31" ht="15">
      <c r="A17" s="140">
        <v>10949</v>
      </c>
      <c r="B17" s="221">
        <v>15</v>
      </c>
      <c r="C17" s="225"/>
      <c r="D17" s="187" t="s">
        <v>254</v>
      </c>
      <c r="E17" s="187"/>
      <c r="F17" s="140">
        <v>1</v>
      </c>
      <c r="G17" s="140" t="s">
        <v>1239</v>
      </c>
      <c r="H17" s="142">
        <v>1</v>
      </c>
      <c r="I17" s="143">
        <v>1</v>
      </c>
      <c r="J17" s="143">
        <f t="shared" si="10"/>
        <v>13.333333333333334</v>
      </c>
      <c r="K17" s="142">
        <v>10</v>
      </c>
      <c r="L17" s="271">
        <v>10</v>
      </c>
      <c r="M17" s="142">
        <v>0</v>
      </c>
      <c r="N17" s="140">
        <v>40</v>
      </c>
      <c r="O17" s="159">
        <f t="shared" si="0"/>
        <v>0</v>
      </c>
      <c r="P17" s="140">
        <v>0</v>
      </c>
      <c r="Q17" s="151">
        <f t="shared" si="1"/>
        <v>0</v>
      </c>
      <c r="R17" s="142">
        <v>0</v>
      </c>
      <c r="S17" s="151">
        <f t="shared" si="2"/>
        <v>0</v>
      </c>
      <c r="T17" s="140">
        <v>0</v>
      </c>
      <c r="U17" s="146">
        <f t="shared" si="3"/>
        <v>0</v>
      </c>
      <c r="V17" s="140">
        <v>0</v>
      </c>
      <c r="W17" s="146">
        <f t="shared" si="4"/>
        <v>0</v>
      </c>
      <c r="X17" s="146"/>
      <c r="Y17" s="206">
        <f t="shared" si="5"/>
        <v>0</v>
      </c>
      <c r="Z17" s="206">
        <f t="shared" si="6"/>
        <v>0</v>
      </c>
      <c r="AA17" s="149">
        <f t="shared" si="7"/>
        <v>0</v>
      </c>
      <c r="AB17" s="149">
        <v>10</v>
      </c>
      <c r="AC17" s="149">
        <v>400</v>
      </c>
      <c r="AD17" s="149">
        <f t="shared" si="8"/>
        <v>40</v>
      </c>
      <c r="AE17" s="150">
        <f t="shared" si="9"/>
        <v>13.333333333333334</v>
      </c>
    </row>
    <row r="18" spans="1:31" ht="15">
      <c r="A18" s="140">
        <v>10949</v>
      </c>
      <c r="B18" s="225">
        <v>16</v>
      </c>
      <c r="C18" s="221"/>
      <c r="D18" s="187" t="s">
        <v>255</v>
      </c>
      <c r="E18" s="187"/>
      <c r="F18" s="140">
        <v>1</v>
      </c>
      <c r="G18" s="140" t="s">
        <v>1239</v>
      </c>
      <c r="H18" s="142">
        <v>5</v>
      </c>
      <c r="I18" s="143">
        <v>9</v>
      </c>
      <c r="J18" s="143">
        <f t="shared" si="10"/>
        <v>13.333333333333334</v>
      </c>
      <c r="K18" s="142">
        <v>15</v>
      </c>
      <c r="L18" s="271">
        <v>5</v>
      </c>
      <c r="M18" s="142">
        <f t="shared" si="11"/>
        <v>10</v>
      </c>
      <c r="N18" s="140">
        <v>40</v>
      </c>
      <c r="O18" s="159">
        <f t="shared" si="0"/>
        <v>400</v>
      </c>
      <c r="P18" s="140">
        <v>0</v>
      </c>
      <c r="Q18" s="151">
        <f t="shared" si="1"/>
        <v>0</v>
      </c>
      <c r="R18" s="142">
        <v>0</v>
      </c>
      <c r="S18" s="151">
        <f t="shared" si="2"/>
        <v>0</v>
      </c>
      <c r="T18" s="140">
        <v>10</v>
      </c>
      <c r="U18" s="146">
        <f t="shared" si="3"/>
        <v>400</v>
      </c>
      <c r="V18" s="140">
        <v>0</v>
      </c>
      <c r="W18" s="146">
        <f t="shared" si="4"/>
        <v>0</v>
      </c>
      <c r="X18" s="146"/>
      <c r="Y18" s="206">
        <f t="shared" si="5"/>
        <v>0</v>
      </c>
      <c r="Z18" s="206">
        <f t="shared" si="6"/>
        <v>10</v>
      </c>
      <c r="AA18" s="149">
        <f t="shared" si="7"/>
        <v>2.5</v>
      </c>
      <c r="AB18" s="149">
        <v>10</v>
      </c>
      <c r="AC18" s="149">
        <v>400</v>
      </c>
      <c r="AD18" s="149">
        <f t="shared" si="8"/>
        <v>40</v>
      </c>
      <c r="AE18" s="150">
        <f t="shared" si="9"/>
        <v>13.333333333333334</v>
      </c>
    </row>
    <row r="19" spans="1:31" ht="15">
      <c r="A19" s="140">
        <v>10949</v>
      </c>
      <c r="B19" s="221">
        <v>17</v>
      </c>
      <c r="C19" s="221"/>
      <c r="D19" s="187" t="s">
        <v>256</v>
      </c>
      <c r="E19" s="187"/>
      <c r="F19" s="140">
        <v>1</v>
      </c>
      <c r="G19" s="140" t="s">
        <v>1239</v>
      </c>
      <c r="H19" s="142">
        <v>10</v>
      </c>
      <c r="I19" s="143">
        <v>4</v>
      </c>
      <c r="J19" s="143">
        <f t="shared" si="10"/>
        <v>13.333333333333334</v>
      </c>
      <c r="K19" s="142">
        <v>15</v>
      </c>
      <c r="L19" s="271">
        <v>5</v>
      </c>
      <c r="M19" s="142">
        <f t="shared" si="11"/>
        <v>10</v>
      </c>
      <c r="N19" s="140">
        <v>40</v>
      </c>
      <c r="O19" s="159">
        <f t="shared" si="0"/>
        <v>400</v>
      </c>
      <c r="P19" s="140">
        <v>0</v>
      </c>
      <c r="Q19" s="151">
        <f t="shared" si="1"/>
        <v>0</v>
      </c>
      <c r="R19" s="142">
        <v>0</v>
      </c>
      <c r="S19" s="151">
        <f t="shared" si="2"/>
        <v>0</v>
      </c>
      <c r="T19" s="140">
        <v>10</v>
      </c>
      <c r="U19" s="146">
        <f t="shared" si="3"/>
        <v>400</v>
      </c>
      <c r="V19" s="140">
        <v>0</v>
      </c>
      <c r="W19" s="146">
        <f t="shared" si="4"/>
        <v>0</v>
      </c>
      <c r="X19" s="146"/>
      <c r="Y19" s="206">
        <f t="shared" si="5"/>
        <v>0</v>
      </c>
      <c r="Z19" s="206">
        <f t="shared" si="6"/>
        <v>10</v>
      </c>
      <c r="AA19" s="149">
        <f t="shared" si="7"/>
        <v>2.5</v>
      </c>
      <c r="AB19" s="149">
        <v>10</v>
      </c>
      <c r="AC19" s="149">
        <v>400</v>
      </c>
      <c r="AD19" s="149">
        <f t="shared" si="8"/>
        <v>40</v>
      </c>
      <c r="AE19" s="150">
        <f t="shared" si="9"/>
        <v>13.333333333333334</v>
      </c>
    </row>
    <row r="20" spans="1:31" ht="15">
      <c r="A20" s="140">
        <v>10949</v>
      </c>
      <c r="B20" s="225">
        <v>18</v>
      </c>
      <c r="C20" s="225"/>
      <c r="D20" s="187" t="s">
        <v>257</v>
      </c>
      <c r="E20" s="187"/>
      <c r="F20" s="140">
        <v>1</v>
      </c>
      <c r="G20" s="140" t="s">
        <v>1239</v>
      </c>
      <c r="H20" s="142">
        <v>9</v>
      </c>
      <c r="I20" s="143">
        <v>1</v>
      </c>
      <c r="J20" s="143">
        <f t="shared" si="10"/>
        <v>26.666666666666668</v>
      </c>
      <c r="K20" s="142">
        <v>30</v>
      </c>
      <c r="L20" s="271">
        <v>10</v>
      </c>
      <c r="M20" s="142">
        <f t="shared" si="11"/>
        <v>20</v>
      </c>
      <c r="N20" s="140">
        <v>40</v>
      </c>
      <c r="O20" s="159">
        <f t="shared" si="0"/>
        <v>800</v>
      </c>
      <c r="P20" s="140">
        <v>0</v>
      </c>
      <c r="Q20" s="151">
        <f t="shared" si="1"/>
        <v>0</v>
      </c>
      <c r="R20" s="142">
        <v>10</v>
      </c>
      <c r="S20" s="151">
        <f t="shared" si="2"/>
        <v>400</v>
      </c>
      <c r="T20" s="140">
        <v>0</v>
      </c>
      <c r="U20" s="146">
        <f t="shared" si="3"/>
        <v>0</v>
      </c>
      <c r="V20" s="140">
        <v>10</v>
      </c>
      <c r="W20" s="146">
        <f t="shared" si="4"/>
        <v>400</v>
      </c>
      <c r="X20" s="146"/>
      <c r="Y20" s="206">
        <f t="shared" si="5"/>
        <v>0</v>
      </c>
      <c r="Z20" s="206">
        <f t="shared" si="6"/>
        <v>20</v>
      </c>
      <c r="AA20" s="149">
        <f t="shared" si="7"/>
        <v>5</v>
      </c>
      <c r="AB20" s="149">
        <v>20</v>
      </c>
      <c r="AC20" s="149">
        <v>800</v>
      </c>
      <c r="AD20" s="149">
        <f t="shared" si="8"/>
        <v>40</v>
      </c>
      <c r="AE20" s="150">
        <f t="shared" si="9"/>
        <v>26.666666666666668</v>
      </c>
    </row>
    <row r="21" spans="1:31" ht="15">
      <c r="A21" s="140">
        <v>10949</v>
      </c>
      <c r="B21" s="221">
        <v>19</v>
      </c>
      <c r="C21" s="221"/>
      <c r="D21" s="187" t="s">
        <v>258</v>
      </c>
      <c r="E21" s="187"/>
      <c r="F21" s="140">
        <v>1</v>
      </c>
      <c r="G21" s="140" t="s">
        <v>1239</v>
      </c>
      <c r="H21" s="142">
        <v>8</v>
      </c>
      <c r="I21" s="143">
        <v>2</v>
      </c>
      <c r="J21" s="143">
        <f t="shared" si="10"/>
        <v>0</v>
      </c>
      <c r="K21" s="142">
        <v>10</v>
      </c>
      <c r="L21" s="271">
        <v>0</v>
      </c>
      <c r="M21" s="142">
        <f t="shared" si="11"/>
        <v>10</v>
      </c>
      <c r="N21" s="140">
        <v>50</v>
      </c>
      <c r="O21" s="159">
        <f t="shared" si="0"/>
        <v>500</v>
      </c>
      <c r="P21" s="140">
        <v>10</v>
      </c>
      <c r="Q21" s="151">
        <f aca="true" t="shared" si="12" ref="Q21:Q47">P21*N21</f>
        <v>500</v>
      </c>
      <c r="R21" s="142">
        <v>0</v>
      </c>
      <c r="S21" s="151">
        <f aca="true" t="shared" si="13" ref="S21:S47">R21*N21</f>
        <v>0</v>
      </c>
      <c r="T21" s="140">
        <v>0</v>
      </c>
      <c r="U21" s="146">
        <f aca="true" t="shared" si="14" ref="U21:U47">T21*N21</f>
        <v>0</v>
      </c>
      <c r="V21" s="140">
        <v>0</v>
      </c>
      <c r="W21" s="146">
        <f aca="true" t="shared" si="15" ref="W21:W47">V21*N21</f>
        <v>0</v>
      </c>
      <c r="X21" s="146"/>
      <c r="Y21" s="206">
        <f aca="true" t="shared" si="16" ref="Y21:Y47">M21-Z21</f>
        <v>0</v>
      </c>
      <c r="Z21" s="206">
        <f aca="true" t="shared" si="17" ref="Z21:Z47">P21+R21+T21+V21</f>
        <v>10</v>
      </c>
      <c r="AA21" s="149">
        <f aca="true" t="shared" si="18" ref="AA21:AA47">M21/4</f>
        <v>2.5</v>
      </c>
      <c r="AD21" s="149" t="e">
        <f aca="true" t="shared" si="19" ref="AD21:AD47">AC21/AB21</f>
        <v>#DIV/0!</v>
      </c>
      <c r="AE21" s="150">
        <f t="shared" si="9"/>
        <v>0</v>
      </c>
    </row>
    <row r="22" spans="1:31" ht="15">
      <c r="A22" s="140">
        <v>10949</v>
      </c>
      <c r="B22" s="225">
        <v>20</v>
      </c>
      <c r="C22" s="221"/>
      <c r="D22" s="187" t="s">
        <v>259</v>
      </c>
      <c r="E22" s="187"/>
      <c r="F22" s="140">
        <v>1</v>
      </c>
      <c r="G22" s="140" t="s">
        <v>1239</v>
      </c>
      <c r="H22" s="142">
        <v>5</v>
      </c>
      <c r="I22" s="143">
        <v>0</v>
      </c>
      <c r="J22" s="143">
        <f t="shared" si="10"/>
        <v>0</v>
      </c>
      <c r="K22" s="142">
        <v>10</v>
      </c>
      <c r="L22" s="271">
        <v>0</v>
      </c>
      <c r="M22" s="142">
        <f t="shared" si="11"/>
        <v>10</v>
      </c>
      <c r="N22" s="140">
        <v>50</v>
      </c>
      <c r="O22" s="159">
        <f t="shared" si="0"/>
        <v>500</v>
      </c>
      <c r="P22" s="140">
        <v>10</v>
      </c>
      <c r="Q22" s="151">
        <f t="shared" si="12"/>
        <v>500</v>
      </c>
      <c r="R22" s="142">
        <v>0</v>
      </c>
      <c r="S22" s="151">
        <f t="shared" si="13"/>
        <v>0</v>
      </c>
      <c r="T22" s="140">
        <v>0</v>
      </c>
      <c r="U22" s="146">
        <f t="shared" si="14"/>
        <v>0</v>
      </c>
      <c r="V22" s="140">
        <v>0</v>
      </c>
      <c r="W22" s="146">
        <f t="shared" si="15"/>
        <v>0</v>
      </c>
      <c r="X22" s="146"/>
      <c r="Y22" s="206">
        <f t="shared" si="16"/>
        <v>0</v>
      </c>
      <c r="Z22" s="206">
        <f t="shared" si="17"/>
        <v>10</v>
      </c>
      <c r="AA22" s="149">
        <f t="shared" si="18"/>
        <v>2.5</v>
      </c>
      <c r="AD22" s="149" t="e">
        <f t="shared" si="19"/>
        <v>#DIV/0!</v>
      </c>
      <c r="AE22" s="150">
        <f t="shared" si="9"/>
        <v>0</v>
      </c>
    </row>
    <row r="23" spans="1:31" ht="15">
      <c r="A23" s="140">
        <v>10949</v>
      </c>
      <c r="B23" s="221">
        <v>21</v>
      </c>
      <c r="C23" s="225"/>
      <c r="D23" s="187" t="s">
        <v>260</v>
      </c>
      <c r="E23" s="187"/>
      <c r="F23" s="140">
        <v>1</v>
      </c>
      <c r="G23" s="140" t="s">
        <v>1239</v>
      </c>
      <c r="H23" s="142">
        <v>15</v>
      </c>
      <c r="I23" s="143">
        <v>1</v>
      </c>
      <c r="J23" s="143">
        <f t="shared" si="10"/>
        <v>0</v>
      </c>
      <c r="K23" s="142">
        <v>10</v>
      </c>
      <c r="L23" s="271">
        <v>0</v>
      </c>
      <c r="M23" s="142">
        <f t="shared" si="11"/>
        <v>10</v>
      </c>
      <c r="N23" s="140">
        <v>50</v>
      </c>
      <c r="O23" s="159">
        <f t="shared" si="0"/>
        <v>500</v>
      </c>
      <c r="P23" s="140">
        <v>10</v>
      </c>
      <c r="Q23" s="151">
        <f t="shared" si="12"/>
        <v>500</v>
      </c>
      <c r="R23" s="142">
        <v>0</v>
      </c>
      <c r="S23" s="151">
        <f t="shared" si="13"/>
        <v>0</v>
      </c>
      <c r="T23" s="140">
        <v>0</v>
      </c>
      <c r="U23" s="146">
        <f t="shared" si="14"/>
        <v>0</v>
      </c>
      <c r="V23" s="140">
        <v>0</v>
      </c>
      <c r="W23" s="146">
        <f t="shared" si="15"/>
        <v>0</v>
      </c>
      <c r="X23" s="146"/>
      <c r="Y23" s="206">
        <f t="shared" si="16"/>
        <v>0</v>
      </c>
      <c r="Z23" s="206">
        <f t="shared" si="17"/>
        <v>10</v>
      </c>
      <c r="AA23" s="149">
        <f t="shared" si="18"/>
        <v>2.5</v>
      </c>
      <c r="AD23" s="149" t="e">
        <f t="shared" si="19"/>
        <v>#DIV/0!</v>
      </c>
      <c r="AE23" s="150">
        <f t="shared" si="9"/>
        <v>0</v>
      </c>
    </row>
    <row r="24" spans="1:31" ht="15">
      <c r="A24" s="140">
        <v>10949</v>
      </c>
      <c r="B24" s="225">
        <v>22</v>
      </c>
      <c r="C24" s="221"/>
      <c r="D24" s="187" t="s">
        <v>261</v>
      </c>
      <c r="E24" s="187"/>
      <c r="F24" s="140">
        <v>1</v>
      </c>
      <c r="G24" s="140" t="s">
        <v>1239</v>
      </c>
      <c r="H24" s="142">
        <v>14</v>
      </c>
      <c r="I24" s="143">
        <v>14</v>
      </c>
      <c r="J24" s="143">
        <f t="shared" si="10"/>
        <v>40</v>
      </c>
      <c r="K24" s="142">
        <v>40</v>
      </c>
      <c r="L24" s="271">
        <v>10</v>
      </c>
      <c r="M24" s="142">
        <f t="shared" si="11"/>
        <v>30</v>
      </c>
      <c r="N24" s="140">
        <v>50</v>
      </c>
      <c r="O24" s="159">
        <f t="shared" si="0"/>
        <v>1500</v>
      </c>
      <c r="P24" s="140">
        <v>0</v>
      </c>
      <c r="Q24" s="151">
        <f t="shared" si="12"/>
        <v>0</v>
      </c>
      <c r="R24" s="142">
        <v>10</v>
      </c>
      <c r="S24" s="151">
        <f t="shared" si="13"/>
        <v>500</v>
      </c>
      <c r="T24" s="140">
        <v>10</v>
      </c>
      <c r="U24" s="146">
        <f t="shared" si="14"/>
        <v>500</v>
      </c>
      <c r="V24" s="140">
        <v>10</v>
      </c>
      <c r="W24" s="146">
        <f t="shared" si="15"/>
        <v>500</v>
      </c>
      <c r="X24" s="146"/>
      <c r="Y24" s="206">
        <f t="shared" si="16"/>
        <v>0</v>
      </c>
      <c r="Z24" s="206">
        <f t="shared" si="17"/>
        <v>30</v>
      </c>
      <c r="AA24" s="149">
        <f t="shared" si="18"/>
        <v>7.5</v>
      </c>
      <c r="AB24" s="149">
        <v>30</v>
      </c>
      <c r="AC24" s="149">
        <v>1500</v>
      </c>
      <c r="AD24" s="149">
        <f t="shared" si="19"/>
        <v>50</v>
      </c>
      <c r="AE24" s="150">
        <f t="shared" si="9"/>
        <v>40</v>
      </c>
    </row>
    <row r="25" spans="1:31" ht="15">
      <c r="A25" s="140">
        <v>10949</v>
      </c>
      <c r="B25" s="221">
        <v>23</v>
      </c>
      <c r="C25" s="221"/>
      <c r="D25" s="187" t="s">
        <v>262</v>
      </c>
      <c r="E25" s="187"/>
      <c r="F25" s="140">
        <v>1</v>
      </c>
      <c r="G25" s="140" t="s">
        <v>1239</v>
      </c>
      <c r="H25" s="142">
        <v>61</v>
      </c>
      <c r="I25" s="143">
        <v>48</v>
      </c>
      <c r="J25" s="143">
        <f t="shared" si="10"/>
        <v>93.33333333333333</v>
      </c>
      <c r="K25" s="142">
        <v>100</v>
      </c>
      <c r="L25" s="271">
        <v>20</v>
      </c>
      <c r="M25" s="142">
        <f t="shared" si="11"/>
        <v>80</v>
      </c>
      <c r="N25" s="140">
        <v>50</v>
      </c>
      <c r="O25" s="159">
        <f t="shared" si="0"/>
        <v>4000</v>
      </c>
      <c r="P25" s="140">
        <v>20</v>
      </c>
      <c r="Q25" s="151">
        <f t="shared" si="12"/>
        <v>1000</v>
      </c>
      <c r="R25" s="142">
        <v>20</v>
      </c>
      <c r="S25" s="151">
        <f t="shared" si="13"/>
        <v>1000</v>
      </c>
      <c r="T25" s="140">
        <v>20</v>
      </c>
      <c r="U25" s="146">
        <f t="shared" si="14"/>
        <v>1000</v>
      </c>
      <c r="V25" s="140">
        <v>20</v>
      </c>
      <c r="W25" s="146">
        <f t="shared" si="15"/>
        <v>1000</v>
      </c>
      <c r="X25" s="146"/>
      <c r="Y25" s="206">
        <f t="shared" si="16"/>
        <v>0</v>
      </c>
      <c r="Z25" s="206">
        <f t="shared" si="17"/>
        <v>80</v>
      </c>
      <c r="AA25" s="149">
        <f t="shared" si="18"/>
        <v>20</v>
      </c>
      <c r="AB25" s="149">
        <v>70</v>
      </c>
      <c r="AC25" s="149">
        <v>3500</v>
      </c>
      <c r="AD25" s="149">
        <f t="shared" si="19"/>
        <v>50</v>
      </c>
      <c r="AE25" s="150">
        <f t="shared" si="9"/>
        <v>93.33333333333333</v>
      </c>
    </row>
    <row r="26" spans="1:31" ht="15">
      <c r="A26" s="140">
        <v>10949</v>
      </c>
      <c r="B26" s="225">
        <v>24</v>
      </c>
      <c r="C26" s="225"/>
      <c r="D26" s="187" t="s">
        <v>263</v>
      </c>
      <c r="E26" s="187"/>
      <c r="F26" s="140">
        <v>1</v>
      </c>
      <c r="G26" s="140" t="s">
        <v>1239</v>
      </c>
      <c r="H26" s="142">
        <v>149</v>
      </c>
      <c r="I26" s="143">
        <v>167</v>
      </c>
      <c r="J26" s="143">
        <f t="shared" si="10"/>
        <v>320</v>
      </c>
      <c r="K26" s="142">
        <v>320</v>
      </c>
      <c r="L26" s="271">
        <v>10</v>
      </c>
      <c r="M26" s="142">
        <f t="shared" si="11"/>
        <v>310</v>
      </c>
      <c r="N26" s="140">
        <v>50</v>
      </c>
      <c r="O26" s="159">
        <f t="shared" si="0"/>
        <v>15500</v>
      </c>
      <c r="P26" s="140">
        <v>80</v>
      </c>
      <c r="Q26" s="151">
        <f t="shared" si="12"/>
        <v>4000</v>
      </c>
      <c r="R26" s="142">
        <v>70</v>
      </c>
      <c r="S26" s="151">
        <f t="shared" si="13"/>
        <v>3500</v>
      </c>
      <c r="T26" s="140">
        <v>80</v>
      </c>
      <c r="U26" s="146">
        <f t="shared" si="14"/>
        <v>4000</v>
      </c>
      <c r="V26" s="140">
        <v>80</v>
      </c>
      <c r="W26" s="146">
        <f t="shared" si="15"/>
        <v>4000</v>
      </c>
      <c r="X26" s="146"/>
      <c r="Y26" s="206">
        <f t="shared" si="16"/>
        <v>0</v>
      </c>
      <c r="Z26" s="206">
        <f t="shared" si="17"/>
        <v>310</v>
      </c>
      <c r="AA26" s="149">
        <f t="shared" si="18"/>
        <v>77.5</v>
      </c>
      <c r="AB26" s="149">
        <v>240</v>
      </c>
      <c r="AC26" s="149">
        <v>12000</v>
      </c>
      <c r="AD26" s="149">
        <f t="shared" si="19"/>
        <v>50</v>
      </c>
      <c r="AE26" s="150">
        <f t="shared" si="9"/>
        <v>320</v>
      </c>
    </row>
    <row r="27" spans="1:31" ht="15">
      <c r="A27" s="140">
        <v>10949</v>
      </c>
      <c r="B27" s="221">
        <v>25</v>
      </c>
      <c r="C27" s="221"/>
      <c r="D27" s="187" t="s">
        <v>264</v>
      </c>
      <c r="E27" s="187"/>
      <c r="F27" s="140">
        <v>1</v>
      </c>
      <c r="G27" s="140" t="s">
        <v>1239</v>
      </c>
      <c r="H27" s="142">
        <v>2</v>
      </c>
      <c r="I27" s="143">
        <v>2</v>
      </c>
      <c r="J27" s="143">
        <f t="shared" si="10"/>
        <v>13.333333333333334</v>
      </c>
      <c r="K27" s="142">
        <v>20</v>
      </c>
      <c r="L27" s="271">
        <v>0</v>
      </c>
      <c r="M27" s="142">
        <f t="shared" si="11"/>
        <v>20</v>
      </c>
      <c r="N27" s="140">
        <v>50</v>
      </c>
      <c r="O27" s="159">
        <f t="shared" si="0"/>
        <v>1000</v>
      </c>
      <c r="P27" s="140">
        <v>20</v>
      </c>
      <c r="Q27" s="151">
        <f t="shared" si="12"/>
        <v>1000</v>
      </c>
      <c r="R27" s="142">
        <v>0</v>
      </c>
      <c r="S27" s="151">
        <f t="shared" si="13"/>
        <v>0</v>
      </c>
      <c r="T27" s="140">
        <v>0</v>
      </c>
      <c r="U27" s="146">
        <f t="shared" si="14"/>
        <v>0</v>
      </c>
      <c r="V27" s="140">
        <v>0</v>
      </c>
      <c r="W27" s="146">
        <f t="shared" si="15"/>
        <v>0</v>
      </c>
      <c r="X27" s="146"/>
      <c r="Y27" s="206">
        <f t="shared" si="16"/>
        <v>0</v>
      </c>
      <c r="Z27" s="206">
        <f t="shared" si="17"/>
        <v>20</v>
      </c>
      <c r="AA27" s="149">
        <f t="shared" si="18"/>
        <v>5</v>
      </c>
      <c r="AB27" s="149">
        <v>10</v>
      </c>
      <c r="AC27" s="149">
        <v>500</v>
      </c>
      <c r="AD27" s="149">
        <f t="shared" si="19"/>
        <v>50</v>
      </c>
      <c r="AE27" s="150">
        <f t="shared" si="9"/>
        <v>13.333333333333334</v>
      </c>
    </row>
    <row r="28" spans="1:31" ht="15">
      <c r="A28" s="140">
        <v>10949</v>
      </c>
      <c r="B28" s="225">
        <v>26</v>
      </c>
      <c r="C28" s="221"/>
      <c r="D28" s="187" t="s">
        <v>265</v>
      </c>
      <c r="E28" s="187"/>
      <c r="F28" s="140">
        <v>1</v>
      </c>
      <c r="G28" s="140" t="s">
        <v>1239</v>
      </c>
      <c r="H28" s="142">
        <v>4750</v>
      </c>
      <c r="I28" s="143">
        <v>5440</v>
      </c>
      <c r="J28" s="143">
        <f t="shared" si="10"/>
        <v>4000</v>
      </c>
      <c r="K28" s="142">
        <v>5000</v>
      </c>
      <c r="L28" s="140">
        <v>500</v>
      </c>
      <c r="M28" s="142">
        <f t="shared" si="11"/>
        <v>4500</v>
      </c>
      <c r="N28" s="140">
        <v>3.2</v>
      </c>
      <c r="O28" s="159">
        <f t="shared" si="0"/>
        <v>14400</v>
      </c>
      <c r="P28" s="140">
        <v>1200</v>
      </c>
      <c r="Q28" s="151">
        <f t="shared" si="12"/>
        <v>3840</v>
      </c>
      <c r="R28" s="142">
        <v>1100</v>
      </c>
      <c r="S28" s="151">
        <f t="shared" si="13"/>
        <v>3520</v>
      </c>
      <c r="T28" s="140">
        <v>1100</v>
      </c>
      <c r="U28" s="146">
        <f t="shared" si="14"/>
        <v>3520</v>
      </c>
      <c r="V28" s="140">
        <v>1100</v>
      </c>
      <c r="W28" s="146">
        <f t="shared" si="15"/>
        <v>3520</v>
      </c>
      <c r="X28" s="146"/>
      <c r="Y28" s="206">
        <f t="shared" si="16"/>
        <v>0</v>
      </c>
      <c r="Z28" s="206">
        <f t="shared" si="17"/>
        <v>4500</v>
      </c>
      <c r="AA28" s="149">
        <f t="shared" si="18"/>
        <v>1125</v>
      </c>
      <c r="AB28" s="149">
        <v>3000</v>
      </c>
      <c r="AC28" s="149">
        <v>9000</v>
      </c>
      <c r="AD28" s="149">
        <f t="shared" si="19"/>
        <v>3</v>
      </c>
      <c r="AE28" s="150">
        <f t="shared" si="9"/>
        <v>4000</v>
      </c>
    </row>
    <row r="29" spans="1:31" ht="15">
      <c r="A29" s="140">
        <v>10949</v>
      </c>
      <c r="B29" s="221">
        <v>27</v>
      </c>
      <c r="C29" s="225"/>
      <c r="D29" s="187" t="s">
        <v>266</v>
      </c>
      <c r="E29" s="187"/>
      <c r="F29" s="140">
        <v>1</v>
      </c>
      <c r="G29" s="140" t="s">
        <v>407</v>
      </c>
      <c r="H29" s="142">
        <v>8296</v>
      </c>
      <c r="I29" s="143">
        <v>7864</v>
      </c>
      <c r="J29" s="143">
        <f t="shared" si="10"/>
        <v>5333.333333333334</v>
      </c>
      <c r="K29" s="142">
        <v>7500</v>
      </c>
      <c r="L29" s="140">
        <v>1500</v>
      </c>
      <c r="M29" s="142">
        <f t="shared" si="11"/>
        <v>6000</v>
      </c>
      <c r="N29" s="140">
        <v>3.5</v>
      </c>
      <c r="O29" s="159">
        <f t="shared" si="0"/>
        <v>21000</v>
      </c>
      <c r="P29" s="140">
        <v>1500</v>
      </c>
      <c r="Q29" s="151">
        <f t="shared" si="12"/>
        <v>5250</v>
      </c>
      <c r="R29" s="142">
        <v>1500</v>
      </c>
      <c r="S29" s="151">
        <f t="shared" si="13"/>
        <v>5250</v>
      </c>
      <c r="T29" s="140">
        <v>1500</v>
      </c>
      <c r="U29" s="146">
        <f t="shared" si="14"/>
        <v>5250</v>
      </c>
      <c r="V29" s="140">
        <v>1500</v>
      </c>
      <c r="W29" s="146">
        <f t="shared" si="15"/>
        <v>5250</v>
      </c>
      <c r="X29" s="146"/>
      <c r="Y29" s="206">
        <f t="shared" si="16"/>
        <v>0</v>
      </c>
      <c r="Z29" s="206">
        <f t="shared" si="17"/>
        <v>6000</v>
      </c>
      <c r="AA29" s="149">
        <f t="shared" si="18"/>
        <v>1500</v>
      </c>
      <c r="AB29" s="149">
        <v>4000</v>
      </c>
      <c r="AC29" s="149">
        <v>14000</v>
      </c>
      <c r="AD29" s="149">
        <f t="shared" si="19"/>
        <v>3.5</v>
      </c>
      <c r="AE29" s="150">
        <f t="shared" si="9"/>
        <v>5333.333333333334</v>
      </c>
    </row>
    <row r="30" spans="1:31" ht="15">
      <c r="A30" s="140">
        <v>10949</v>
      </c>
      <c r="B30" s="225">
        <v>28</v>
      </c>
      <c r="C30" s="221"/>
      <c r="D30" s="187" t="s">
        <v>267</v>
      </c>
      <c r="E30" s="187"/>
      <c r="F30" s="140">
        <v>50</v>
      </c>
      <c r="G30" s="140" t="s">
        <v>412</v>
      </c>
      <c r="H30" s="142">
        <v>1813</v>
      </c>
      <c r="I30" s="143">
        <v>1632</v>
      </c>
      <c r="J30" s="143">
        <f t="shared" si="10"/>
        <v>3244</v>
      </c>
      <c r="K30" s="142">
        <v>3500</v>
      </c>
      <c r="L30" s="142">
        <v>1400</v>
      </c>
      <c r="M30" s="142">
        <f t="shared" si="11"/>
        <v>2100</v>
      </c>
      <c r="N30" s="140">
        <v>118</v>
      </c>
      <c r="O30" s="159">
        <f t="shared" si="0"/>
        <v>247800</v>
      </c>
      <c r="P30" s="140">
        <v>500</v>
      </c>
      <c r="Q30" s="151">
        <f t="shared" si="12"/>
        <v>59000</v>
      </c>
      <c r="R30" s="142">
        <v>500</v>
      </c>
      <c r="S30" s="151">
        <f t="shared" si="13"/>
        <v>59000</v>
      </c>
      <c r="T30" s="140">
        <v>600</v>
      </c>
      <c r="U30" s="146">
        <f t="shared" si="14"/>
        <v>70800</v>
      </c>
      <c r="V30" s="140">
        <v>500</v>
      </c>
      <c r="W30" s="146">
        <f t="shared" si="15"/>
        <v>59000</v>
      </c>
      <c r="X30" s="146"/>
      <c r="Y30" s="206">
        <f t="shared" si="16"/>
        <v>0</v>
      </c>
      <c r="Z30" s="206">
        <f t="shared" si="17"/>
        <v>2100</v>
      </c>
      <c r="AA30" s="149">
        <f t="shared" si="18"/>
        <v>525</v>
      </c>
      <c r="AB30" s="149">
        <f>2262+119+52</f>
        <v>2433</v>
      </c>
      <c r="AC30" s="149">
        <f>196702+5166</f>
        <v>201868</v>
      </c>
      <c r="AD30" s="149">
        <f t="shared" si="19"/>
        <v>82.97081792026304</v>
      </c>
      <c r="AE30" s="150">
        <f t="shared" si="9"/>
        <v>3244</v>
      </c>
    </row>
    <row r="31" spans="1:31" ht="15">
      <c r="A31" s="140">
        <v>10949</v>
      </c>
      <c r="B31" s="221">
        <v>29</v>
      </c>
      <c r="C31" s="221"/>
      <c r="D31" s="187" t="s">
        <v>1490</v>
      </c>
      <c r="E31" s="187"/>
      <c r="F31" s="140">
        <v>1</v>
      </c>
      <c r="G31" s="140" t="s">
        <v>409</v>
      </c>
      <c r="H31" s="142">
        <v>0</v>
      </c>
      <c r="I31" s="143">
        <v>20</v>
      </c>
      <c r="J31" s="143">
        <f t="shared" si="10"/>
        <v>0</v>
      </c>
      <c r="K31" s="142">
        <v>400</v>
      </c>
      <c r="L31" s="140">
        <v>100</v>
      </c>
      <c r="M31" s="142">
        <f t="shared" si="11"/>
        <v>300</v>
      </c>
      <c r="N31" s="140">
        <v>19.6</v>
      </c>
      <c r="O31" s="159">
        <f t="shared" si="0"/>
        <v>5880</v>
      </c>
      <c r="P31" s="140">
        <v>0</v>
      </c>
      <c r="Q31" s="151">
        <f t="shared" si="12"/>
        <v>0</v>
      </c>
      <c r="R31" s="142">
        <v>100</v>
      </c>
      <c r="S31" s="151">
        <f t="shared" si="13"/>
        <v>1960.0000000000002</v>
      </c>
      <c r="T31" s="140">
        <v>100</v>
      </c>
      <c r="U31" s="146">
        <f t="shared" si="14"/>
        <v>1960.0000000000002</v>
      </c>
      <c r="V31" s="140">
        <v>100</v>
      </c>
      <c r="W31" s="146">
        <f t="shared" si="15"/>
        <v>1960.0000000000002</v>
      </c>
      <c r="X31" s="146"/>
      <c r="Y31" s="206">
        <f>M31-Z31</f>
        <v>0</v>
      </c>
      <c r="Z31" s="206">
        <f>P31+R31+T31+V31</f>
        <v>300</v>
      </c>
      <c r="AA31" s="149">
        <f t="shared" si="18"/>
        <v>75</v>
      </c>
      <c r="AE31" s="150">
        <f t="shared" si="9"/>
        <v>0</v>
      </c>
    </row>
    <row r="32" spans="1:31" ht="15">
      <c r="A32" s="140">
        <v>10949</v>
      </c>
      <c r="B32" s="225">
        <v>30</v>
      </c>
      <c r="C32" s="221"/>
      <c r="D32" s="187" t="s">
        <v>277</v>
      </c>
      <c r="E32" s="187"/>
      <c r="F32" s="140">
        <v>1</v>
      </c>
      <c r="G32" s="140" t="s">
        <v>409</v>
      </c>
      <c r="H32" s="142">
        <v>300</v>
      </c>
      <c r="I32" s="143">
        <v>200</v>
      </c>
      <c r="J32" s="143">
        <f t="shared" si="10"/>
        <v>0</v>
      </c>
      <c r="K32" s="142">
        <v>200</v>
      </c>
      <c r="L32" s="140">
        <v>50</v>
      </c>
      <c r="M32" s="142">
        <f t="shared" si="11"/>
        <v>150</v>
      </c>
      <c r="N32" s="140">
        <v>18</v>
      </c>
      <c r="O32" s="159">
        <f t="shared" si="0"/>
        <v>2700</v>
      </c>
      <c r="P32" s="140">
        <v>0</v>
      </c>
      <c r="Q32" s="151">
        <f t="shared" si="12"/>
        <v>0</v>
      </c>
      <c r="R32" s="142">
        <v>150</v>
      </c>
      <c r="S32" s="151">
        <f t="shared" si="13"/>
        <v>2700</v>
      </c>
      <c r="T32" s="140">
        <v>0</v>
      </c>
      <c r="U32" s="146">
        <f t="shared" si="14"/>
        <v>0</v>
      </c>
      <c r="V32" s="140">
        <v>0</v>
      </c>
      <c r="W32" s="146">
        <f t="shared" si="15"/>
        <v>0</v>
      </c>
      <c r="X32" s="146"/>
      <c r="Y32" s="206">
        <f t="shared" si="16"/>
        <v>0</v>
      </c>
      <c r="Z32" s="206">
        <f t="shared" si="17"/>
        <v>150</v>
      </c>
      <c r="AA32" s="149">
        <f t="shared" si="18"/>
        <v>37.5</v>
      </c>
      <c r="AD32" s="149" t="e">
        <f t="shared" si="19"/>
        <v>#DIV/0!</v>
      </c>
      <c r="AE32" s="150">
        <f t="shared" si="9"/>
        <v>0</v>
      </c>
    </row>
    <row r="33" spans="1:31" ht="15">
      <c r="A33" s="140">
        <v>10949</v>
      </c>
      <c r="B33" s="221">
        <v>31</v>
      </c>
      <c r="C33" s="225"/>
      <c r="D33" s="187" t="s">
        <v>1435</v>
      </c>
      <c r="E33" s="187"/>
      <c r="F33" s="140">
        <v>1</v>
      </c>
      <c r="G33" s="140" t="s">
        <v>410</v>
      </c>
      <c r="H33" s="142">
        <v>1</v>
      </c>
      <c r="I33" s="143">
        <v>1</v>
      </c>
      <c r="J33" s="143">
        <f t="shared" si="10"/>
        <v>1.3333333333333333</v>
      </c>
      <c r="K33" s="142">
        <v>1</v>
      </c>
      <c r="L33" s="140">
        <v>0</v>
      </c>
      <c r="M33" s="142">
        <f t="shared" si="11"/>
        <v>1</v>
      </c>
      <c r="N33" s="140">
        <v>7500</v>
      </c>
      <c r="O33" s="159">
        <f t="shared" si="0"/>
        <v>7500</v>
      </c>
      <c r="P33" s="140">
        <v>0</v>
      </c>
      <c r="Q33" s="151">
        <f t="shared" si="12"/>
        <v>0</v>
      </c>
      <c r="R33" s="142">
        <v>0</v>
      </c>
      <c r="S33" s="151">
        <f t="shared" si="13"/>
        <v>0</v>
      </c>
      <c r="T33" s="140">
        <v>1</v>
      </c>
      <c r="U33" s="146">
        <f t="shared" si="14"/>
        <v>7500</v>
      </c>
      <c r="V33" s="140">
        <v>0</v>
      </c>
      <c r="W33" s="146">
        <f t="shared" si="15"/>
        <v>0</v>
      </c>
      <c r="X33" s="146"/>
      <c r="Y33" s="206">
        <f t="shared" si="16"/>
        <v>0</v>
      </c>
      <c r="Z33" s="206">
        <f t="shared" si="17"/>
        <v>1</v>
      </c>
      <c r="AA33" s="149">
        <f t="shared" si="18"/>
        <v>0.25</v>
      </c>
      <c r="AB33" s="149">
        <v>1</v>
      </c>
      <c r="AC33" s="149">
        <v>7500</v>
      </c>
      <c r="AD33" s="149">
        <f t="shared" si="19"/>
        <v>7500</v>
      </c>
      <c r="AE33" s="150">
        <f t="shared" si="9"/>
        <v>1.3333333333333333</v>
      </c>
    </row>
    <row r="34" spans="1:31" ht="15">
      <c r="A34" s="140">
        <v>10949</v>
      </c>
      <c r="B34" s="225">
        <v>32</v>
      </c>
      <c r="C34" s="225"/>
      <c r="D34" s="187" t="s">
        <v>1536</v>
      </c>
      <c r="E34" s="187"/>
      <c r="F34" s="140">
        <v>1</v>
      </c>
      <c r="G34" s="140" t="s">
        <v>410</v>
      </c>
      <c r="H34" s="142">
        <v>1</v>
      </c>
      <c r="I34" s="143">
        <v>0</v>
      </c>
      <c r="J34" s="143">
        <f t="shared" si="10"/>
        <v>0</v>
      </c>
      <c r="K34" s="142">
        <v>0</v>
      </c>
      <c r="L34" s="140">
        <v>0</v>
      </c>
      <c r="M34" s="142">
        <f t="shared" si="11"/>
        <v>0</v>
      </c>
      <c r="N34" s="140">
        <v>6500</v>
      </c>
      <c r="O34" s="159">
        <f t="shared" si="0"/>
        <v>0</v>
      </c>
      <c r="P34" s="140">
        <v>0</v>
      </c>
      <c r="Q34" s="151">
        <f t="shared" si="12"/>
        <v>0</v>
      </c>
      <c r="R34" s="142">
        <v>0</v>
      </c>
      <c r="S34" s="151">
        <f t="shared" si="13"/>
        <v>0</v>
      </c>
      <c r="T34" s="140">
        <v>0</v>
      </c>
      <c r="U34" s="146">
        <f t="shared" si="14"/>
        <v>0</v>
      </c>
      <c r="V34" s="140">
        <v>0</v>
      </c>
      <c r="W34" s="146">
        <f t="shared" si="15"/>
        <v>0</v>
      </c>
      <c r="X34" s="146"/>
      <c r="Y34" s="206">
        <f t="shared" si="16"/>
        <v>0</v>
      </c>
      <c r="Z34" s="206">
        <f t="shared" si="17"/>
        <v>0</v>
      </c>
      <c r="AA34" s="149">
        <f t="shared" si="18"/>
        <v>0</v>
      </c>
      <c r="AE34" s="150">
        <f t="shared" si="9"/>
        <v>0</v>
      </c>
    </row>
    <row r="35" spans="1:31" ht="15">
      <c r="A35" s="140">
        <v>10949</v>
      </c>
      <c r="B35" s="221">
        <v>33</v>
      </c>
      <c r="C35" s="221"/>
      <c r="D35" s="187" t="s">
        <v>280</v>
      </c>
      <c r="E35" s="187"/>
      <c r="F35" s="140">
        <v>1</v>
      </c>
      <c r="G35" s="140" t="s">
        <v>1239</v>
      </c>
      <c r="H35" s="142">
        <v>139</v>
      </c>
      <c r="I35" s="143">
        <v>834</v>
      </c>
      <c r="J35" s="143">
        <f t="shared" si="10"/>
        <v>1336</v>
      </c>
      <c r="K35" s="142">
        <v>1500</v>
      </c>
      <c r="L35" s="140">
        <v>0</v>
      </c>
      <c r="M35" s="142">
        <f t="shared" si="11"/>
        <v>1500</v>
      </c>
      <c r="N35" s="140">
        <v>2.31</v>
      </c>
      <c r="O35" s="159">
        <f t="shared" si="0"/>
        <v>3465</v>
      </c>
      <c r="P35" s="140">
        <v>400</v>
      </c>
      <c r="Q35" s="151">
        <f t="shared" si="12"/>
        <v>924</v>
      </c>
      <c r="R35" s="142">
        <v>400</v>
      </c>
      <c r="S35" s="151">
        <f t="shared" si="13"/>
        <v>924</v>
      </c>
      <c r="T35" s="140">
        <v>400</v>
      </c>
      <c r="U35" s="146">
        <f t="shared" si="14"/>
        <v>924</v>
      </c>
      <c r="V35" s="140">
        <v>300</v>
      </c>
      <c r="W35" s="146">
        <f t="shared" si="15"/>
        <v>693</v>
      </c>
      <c r="X35" s="146"/>
      <c r="Y35" s="206">
        <f t="shared" si="16"/>
        <v>0</v>
      </c>
      <c r="Z35" s="206">
        <f t="shared" si="17"/>
        <v>1500</v>
      </c>
      <c r="AA35" s="149">
        <f t="shared" si="18"/>
        <v>375</v>
      </c>
      <c r="AB35" s="149">
        <v>1002</v>
      </c>
      <c r="AC35" s="149">
        <v>2772</v>
      </c>
      <c r="AD35" s="149">
        <f t="shared" si="19"/>
        <v>2.7664670658682633</v>
      </c>
      <c r="AE35" s="150">
        <f t="shared" si="9"/>
        <v>1336</v>
      </c>
    </row>
    <row r="36" spans="1:33" ht="15">
      <c r="A36" s="130" t="s">
        <v>1199</v>
      </c>
      <c r="B36" s="237" t="s">
        <v>2</v>
      </c>
      <c r="C36" s="134" t="s">
        <v>1213</v>
      </c>
      <c r="D36" s="237" t="s">
        <v>1293</v>
      </c>
      <c r="E36" s="252" t="s">
        <v>1202</v>
      </c>
      <c r="F36" s="237" t="s">
        <v>1579</v>
      </c>
      <c r="G36" s="236" t="s">
        <v>1203</v>
      </c>
      <c r="H36" s="253"/>
      <c r="I36" s="254" t="s">
        <v>1205</v>
      </c>
      <c r="J36" s="235"/>
      <c r="K36" s="236" t="s">
        <v>0</v>
      </c>
      <c r="L36" s="236" t="s">
        <v>1214</v>
      </c>
      <c r="M36" s="236" t="s">
        <v>0</v>
      </c>
      <c r="N36" s="237" t="s">
        <v>1390</v>
      </c>
      <c r="O36" s="236" t="s">
        <v>1288</v>
      </c>
      <c r="P36" s="255" t="s">
        <v>1289</v>
      </c>
      <c r="Q36" s="235"/>
      <c r="R36" s="255" t="s">
        <v>1290</v>
      </c>
      <c r="S36" s="256"/>
      <c r="T36" s="255" t="s">
        <v>1291</v>
      </c>
      <c r="U36" s="235"/>
      <c r="V36" s="255" t="s">
        <v>1292</v>
      </c>
      <c r="W36" s="256"/>
      <c r="X36" s="203" t="s">
        <v>608</v>
      </c>
      <c r="AA36" s="149" t="s">
        <v>1318</v>
      </c>
      <c r="AB36" s="149" t="s">
        <v>1297</v>
      </c>
      <c r="AC36" s="149" t="s">
        <v>6</v>
      </c>
      <c r="AD36" s="149" t="s">
        <v>1</v>
      </c>
      <c r="AE36" s="150" t="s">
        <v>1303</v>
      </c>
      <c r="AF36" s="149" t="s">
        <v>4</v>
      </c>
      <c r="AG36" s="149" t="s">
        <v>1304</v>
      </c>
    </row>
    <row r="37" spans="1:29" ht="15">
      <c r="A37" s="257"/>
      <c r="B37" s="241"/>
      <c r="C37" s="252"/>
      <c r="D37" s="252"/>
      <c r="E37" s="252"/>
      <c r="F37" s="241" t="s">
        <v>1204</v>
      </c>
      <c r="G37" s="252" t="s">
        <v>1204</v>
      </c>
      <c r="H37" s="240">
        <v>2562</v>
      </c>
      <c r="I37" s="240">
        <v>2563</v>
      </c>
      <c r="J37" s="136">
        <v>2564</v>
      </c>
      <c r="K37" s="136" t="s">
        <v>1537</v>
      </c>
      <c r="L37" s="136" t="s">
        <v>4</v>
      </c>
      <c r="M37" s="136" t="s">
        <v>1538</v>
      </c>
      <c r="N37" s="241" t="s">
        <v>1286</v>
      </c>
      <c r="O37" s="258"/>
      <c r="P37" s="258" t="s">
        <v>5</v>
      </c>
      <c r="Q37" s="241" t="s">
        <v>1208</v>
      </c>
      <c r="R37" s="241" t="s">
        <v>5</v>
      </c>
      <c r="S37" s="259" t="s">
        <v>1208</v>
      </c>
      <c r="T37" s="258" t="s">
        <v>5</v>
      </c>
      <c r="U37" s="241" t="s">
        <v>1208</v>
      </c>
      <c r="V37" s="241" t="s">
        <v>5</v>
      </c>
      <c r="W37" s="260" t="s">
        <v>1208</v>
      </c>
      <c r="X37" s="261"/>
      <c r="AB37" s="149" t="s">
        <v>1494</v>
      </c>
      <c r="AC37" s="149" t="s">
        <v>1207</v>
      </c>
    </row>
    <row r="38" spans="1:31" ht="15">
      <c r="A38" s="140">
        <v>10949</v>
      </c>
      <c r="B38" s="225">
        <v>34</v>
      </c>
      <c r="C38" s="221"/>
      <c r="D38" s="187" t="s">
        <v>281</v>
      </c>
      <c r="E38" s="187"/>
      <c r="F38" s="140">
        <v>1</v>
      </c>
      <c r="G38" s="140" t="s">
        <v>1239</v>
      </c>
      <c r="H38" s="142">
        <v>94</v>
      </c>
      <c r="I38" s="143">
        <v>607</v>
      </c>
      <c r="J38" s="143">
        <f t="shared" si="10"/>
        <v>266.66666666666663</v>
      </c>
      <c r="K38" s="142">
        <v>340</v>
      </c>
      <c r="L38" s="140">
        <v>60</v>
      </c>
      <c r="M38" s="142">
        <f t="shared" si="11"/>
        <v>280</v>
      </c>
      <c r="N38" s="140">
        <v>2.31</v>
      </c>
      <c r="O38" s="159">
        <f t="shared" si="0"/>
        <v>646.8000000000001</v>
      </c>
      <c r="P38" s="140">
        <v>70</v>
      </c>
      <c r="Q38" s="151">
        <f t="shared" si="12"/>
        <v>161.70000000000002</v>
      </c>
      <c r="R38" s="142">
        <v>70</v>
      </c>
      <c r="S38" s="151">
        <f t="shared" si="13"/>
        <v>161.70000000000002</v>
      </c>
      <c r="T38" s="140">
        <v>70</v>
      </c>
      <c r="U38" s="146">
        <f t="shared" si="14"/>
        <v>161.70000000000002</v>
      </c>
      <c r="V38" s="140">
        <v>70</v>
      </c>
      <c r="W38" s="146">
        <f t="shared" si="15"/>
        <v>161.70000000000002</v>
      </c>
      <c r="X38" s="146"/>
      <c r="Y38" s="206">
        <f t="shared" si="16"/>
        <v>0</v>
      </c>
      <c r="Z38" s="206">
        <f t="shared" si="17"/>
        <v>280</v>
      </c>
      <c r="AA38" s="149">
        <f t="shared" si="18"/>
        <v>70</v>
      </c>
      <c r="AB38" s="149">
        <v>200</v>
      </c>
      <c r="AC38" s="149">
        <v>462</v>
      </c>
      <c r="AD38" s="149">
        <f t="shared" si="19"/>
        <v>2.31</v>
      </c>
      <c r="AE38" s="150">
        <f t="shared" si="9"/>
        <v>266.66666666666663</v>
      </c>
    </row>
    <row r="39" spans="1:31" ht="15">
      <c r="A39" s="140">
        <v>10949</v>
      </c>
      <c r="B39" s="221">
        <v>35</v>
      </c>
      <c r="C39" s="225"/>
      <c r="D39" s="187" t="s">
        <v>282</v>
      </c>
      <c r="E39" s="187"/>
      <c r="F39" s="140">
        <v>1</v>
      </c>
      <c r="G39" s="140" t="s">
        <v>1239</v>
      </c>
      <c r="H39" s="142">
        <v>480</v>
      </c>
      <c r="I39" s="143">
        <v>2350</v>
      </c>
      <c r="J39" s="143">
        <f t="shared" si="10"/>
        <v>3336</v>
      </c>
      <c r="K39" s="142">
        <v>3500</v>
      </c>
      <c r="L39" s="140">
        <v>300</v>
      </c>
      <c r="M39" s="142">
        <f t="shared" si="11"/>
        <v>3200</v>
      </c>
      <c r="N39" s="140">
        <v>2.31</v>
      </c>
      <c r="O39" s="159">
        <f t="shared" si="0"/>
        <v>7392</v>
      </c>
      <c r="P39" s="140">
        <v>800</v>
      </c>
      <c r="Q39" s="151">
        <f t="shared" si="12"/>
        <v>1848</v>
      </c>
      <c r="R39" s="142">
        <v>800</v>
      </c>
      <c r="S39" s="151">
        <f t="shared" si="13"/>
        <v>1848</v>
      </c>
      <c r="T39" s="140">
        <v>800</v>
      </c>
      <c r="U39" s="146">
        <f t="shared" si="14"/>
        <v>1848</v>
      </c>
      <c r="V39" s="140">
        <v>800</v>
      </c>
      <c r="W39" s="146">
        <f t="shared" si="15"/>
        <v>1848</v>
      </c>
      <c r="X39" s="146"/>
      <c r="Y39" s="206">
        <f t="shared" si="16"/>
        <v>0</v>
      </c>
      <c r="Z39" s="206">
        <f t="shared" si="17"/>
        <v>3200</v>
      </c>
      <c r="AA39" s="149">
        <f t="shared" si="18"/>
        <v>800</v>
      </c>
      <c r="AB39" s="149">
        <v>2502</v>
      </c>
      <c r="AC39" s="149">
        <v>6930</v>
      </c>
      <c r="AD39" s="149">
        <f t="shared" si="19"/>
        <v>2.7697841726618706</v>
      </c>
      <c r="AE39" s="150">
        <f t="shared" si="9"/>
        <v>3336</v>
      </c>
    </row>
    <row r="40" spans="1:31" ht="15">
      <c r="A40" s="140">
        <v>10949</v>
      </c>
      <c r="B40" s="225">
        <v>36</v>
      </c>
      <c r="C40" s="221"/>
      <c r="D40" s="187" t="s">
        <v>283</v>
      </c>
      <c r="E40" s="187"/>
      <c r="F40" s="140">
        <v>1</v>
      </c>
      <c r="G40" s="140" t="s">
        <v>1239</v>
      </c>
      <c r="H40" s="142">
        <v>960</v>
      </c>
      <c r="I40" s="143">
        <v>1057</v>
      </c>
      <c r="J40" s="143">
        <f t="shared" si="10"/>
        <v>1400</v>
      </c>
      <c r="K40" s="142">
        <v>1500</v>
      </c>
      <c r="L40" s="140">
        <v>50</v>
      </c>
      <c r="M40" s="142">
        <f t="shared" si="11"/>
        <v>1450</v>
      </c>
      <c r="N40" s="140">
        <v>2.31</v>
      </c>
      <c r="O40" s="159">
        <f t="shared" si="0"/>
        <v>3349.5</v>
      </c>
      <c r="P40" s="140">
        <v>400</v>
      </c>
      <c r="Q40" s="151">
        <f t="shared" si="12"/>
        <v>924</v>
      </c>
      <c r="R40" s="142">
        <v>300</v>
      </c>
      <c r="S40" s="151">
        <f t="shared" si="13"/>
        <v>693</v>
      </c>
      <c r="T40" s="140">
        <v>400</v>
      </c>
      <c r="U40" s="146">
        <f t="shared" si="14"/>
        <v>924</v>
      </c>
      <c r="V40" s="140">
        <v>350</v>
      </c>
      <c r="W40" s="146">
        <f t="shared" si="15"/>
        <v>808.5</v>
      </c>
      <c r="X40" s="146"/>
      <c r="Y40" s="206">
        <f t="shared" si="16"/>
        <v>0</v>
      </c>
      <c r="Z40" s="206">
        <f t="shared" si="17"/>
        <v>1450</v>
      </c>
      <c r="AA40" s="149">
        <f t="shared" si="18"/>
        <v>362.5</v>
      </c>
      <c r="AB40" s="149">
        <v>1050</v>
      </c>
      <c r="AC40" s="149">
        <v>2425.5</v>
      </c>
      <c r="AD40" s="149">
        <f t="shared" si="19"/>
        <v>2.31</v>
      </c>
      <c r="AE40" s="150">
        <f t="shared" si="9"/>
        <v>1400</v>
      </c>
    </row>
    <row r="41" spans="1:31" ht="15">
      <c r="A41" s="140">
        <v>10949</v>
      </c>
      <c r="B41" s="221">
        <v>37</v>
      </c>
      <c r="C41" s="221"/>
      <c r="D41" s="187" t="s">
        <v>284</v>
      </c>
      <c r="E41" s="187"/>
      <c r="F41" s="140">
        <v>1</v>
      </c>
      <c r="G41" s="140" t="s">
        <v>1239</v>
      </c>
      <c r="H41" s="142">
        <v>66</v>
      </c>
      <c r="I41" s="143">
        <v>34</v>
      </c>
      <c r="J41" s="143">
        <f t="shared" si="10"/>
        <v>0</v>
      </c>
      <c r="K41" s="142">
        <v>40</v>
      </c>
      <c r="L41" s="140">
        <v>0</v>
      </c>
      <c r="M41" s="142">
        <f t="shared" si="11"/>
        <v>40</v>
      </c>
      <c r="N41" s="140">
        <v>2.31</v>
      </c>
      <c r="O41" s="159">
        <f t="shared" si="0"/>
        <v>92.4</v>
      </c>
      <c r="P41" s="140">
        <v>40</v>
      </c>
      <c r="Q41" s="151">
        <f t="shared" si="12"/>
        <v>92.4</v>
      </c>
      <c r="R41" s="142">
        <v>0</v>
      </c>
      <c r="S41" s="151">
        <f t="shared" si="13"/>
        <v>0</v>
      </c>
      <c r="T41" s="140">
        <v>0</v>
      </c>
      <c r="U41" s="146">
        <f t="shared" si="14"/>
        <v>0</v>
      </c>
      <c r="V41" s="140">
        <v>0</v>
      </c>
      <c r="W41" s="146">
        <f t="shared" si="15"/>
        <v>0</v>
      </c>
      <c r="X41" s="146"/>
      <c r="Y41" s="206">
        <f t="shared" si="16"/>
        <v>0</v>
      </c>
      <c r="Z41" s="206">
        <f t="shared" si="17"/>
        <v>40</v>
      </c>
      <c r="AA41" s="149">
        <f t="shared" si="18"/>
        <v>10</v>
      </c>
      <c r="AD41" s="149" t="e">
        <f t="shared" si="19"/>
        <v>#DIV/0!</v>
      </c>
      <c r="AE41" s="150">
        <f t="shared" si="9"/>
        <v>0</v>
      </c>
    </row>
    <row r="42" spans="1:31" ht="15">
      <c r="A42" s="140">
        <v>10949</v>
      </c>
      <c r="B42" s="225">
        <v>38</v>
      </c>
      <c r="C42" s="225"/>
      <c r="D42" s="270" t="s">
        <v>579</v>
      </c>
      <c r="E42" s="270"/>
      <c r="F42" s="140">
        <v>1</v>
      </c>
      <c r="G42" s="140" t="s">
        <v>1239</v>
      </c>
      <c r="H42" s="142">
        <v>20</v>
      </c>
      <c r="I42" s="143">
        <v>0</v>
      </c>
      <c r="J42" s="143">
        <f t="shared" si="10"/>
        <v>0</v>
      </c>
      <c r="K42" s="142">
        <v>10</v>
      </c>
      <c r="L42" s="140">
        <v>20</v>
      </c>
      <c r="M42" s="142">
        <v>0</v>
      </c>
      <c r="N42" s="140">
        <v>2.31</v>
      </c>
      <c r="O42" s="159">
        <f t="shared" si="0"/>
        <v>0</v>
      </c>
      <c r="P42" s="140">
        <v>0</v>
      </c>
      <c r="Q42" s="151">
        <f t="shared" si="12"/>
        <v>0</v>
      </c>
      <c r="R42" s="142">
        <v>0</v>
      </c>
      <c r="S42" s="151">
        <f t="shared" si="13"/>
        <v>0</v>
      </c>
      <c r="T42" s="140">
        <v>0</v>
      </c>
      <c r="U42" s="146">
        <f t="shared" si="14"/>
        <v>0</v>
      </c>
      <c r="V42" s="140">
        <v>0</v>
      </c>
      <c r="W42" s="146">
        <f t="shared" si="15"/>
        <v>0</v>
      </c>
      <c r="X42" s="146"/>
      <c r="Y42" s="206">
        <f t="shared" si="16"/>
        <v>0</v>
      </c>
      <c r="Z42" s="206">
        <f t="shared" si="17"/>
        <v>0</v>
      </c>
      <c r="AA42" s="149">
        <f t="shared" si="18"/>
        <v>0</v>
      </c>
      <c r="AD42" s="149" t="e">
        <f t="shared" si="19"/>
        <v>#DIV/0!</v>
      </c>
      <c r="AE42" s="150">
        <f t="shared" si="9"/>
        <v>0</v>
      </c>
    </row>
    <row r="43" spans="1:31" ht="15">
      <c r="A43" s="140">
        <v>10949</v>
      </c>
      <c r="B43" s="221">
        <v>39</v>
      </c>
      <c r="C43" s="221"/>
      <c r="D43" s="187" t="s">
        <v>278</v>
      </c>
      <c r="E43" s="187"/>
      <c r="F43" s="140">
        <v>1</v>
      </c>
      <c r="G43" s="140" t="s">
        <v>1239</v>
      </c>
      <c r="H43" s="142">
        <v>148</v>
      </c>
      <c r="I43" s="143">
        <v>170</v>
      </c>
      <c r="J43" s="143">
        <f t="shared" si="10"/>
        <v>240</v>
      </c>
      <c r="K43" s="142">
        <v>250</v>
      </c>
      <c r="L43" s="140">
        <v>50</v>
      </c>
      <c r="M43" s="142">
        <f t="shared" si="11"/>
        <v>200</v>
      </c>
      <c r="N43" s="140">
        <v>2.31</v>
      </c>
      <c r="O43" s="159">
        <f t="shared" si="0"/>
        <v>462</v>
      </c>
      <c r="P43" s="140">
        <v>0</v>
      </c>
      <c r="Q43" s="151">
        <f t="shared" si="12"/>
        <v>0</v>
      </c>
      <c r="R43" s="142">
        <v>100</v>
      </c>
      <c r="S43" s="151">
        <f t="shared" si="13"/>
        <v>231</v>
      </c>
      <c r="T43" s="140">
        <v>0</v>
      </c>
      <c r="U43" s="146">
        <f t="shared" si="14"/>
        <v>0</v>
      </c>
      <c r="V43" s="140">
        <v>100</v>
      </c>
      <c r="W43" s="146">
        <f t="shared" si="15"/>
        <v>231</v>
      </c>
      <c r="X43" s="146"/>
      <c r="Y43" s="206">
        <f t="shared" si="16"/>
        <v>0</v>
      </c>
      <c r="Z43" s="206">
        <f t="shared" si="17"/>
        <v>200</v>
      </c>
      <c r="AA43" s="149">
        <f t="shared" si="18"/>
        <v>50</v>
      </c>
      <c r="AB43" s="149">
        <v>180</v>
      </c>
      <c r="AC43" s="149">
        <v>415.8</v>
      </c>
      <c r="AD43" s="149">
        <f t="shared" si="19"/>
        <v>2.31</v>
      </c>
      <c r="AE43" s="150">
        <f t="shared" si="9"/>
        <v>240</v>
      </c>
    </row>
    <row r="44" spans="1:31" ht="15">
      <c r="A44" s="140">
        <v>10949</v>
      </c>
      <c r="B44" s="225">
        <v>40</v>
      </c>
      <c r="C44" s="221"/>
      <c r="D44" s="187" t="s">
        <v>279</v>
      </c>
      <c r="E44" s="187"/>
      <c r="F44" s="140">
        <v>1</v>
      </c>
      <c r="G44" s="140" t="s">
        <v>1239</v>
      </c>
      <c r="H44" s="142">
        <v>979</v>
      </c>
      <c r="I44" s="143">
        <v>1027</v>
      </c>
      <c r="J44" s="143">
        <f t="shared" si="10"/>
        <v>1733.3333333333335</v>
      </c>
      <c r="K44" s="142">
        <v>1800</v>
      </c>
      <c r="L44" s="140">
        <v>200</v>
      </c>
      <c r="M44" s="142">
        <f t="shared" si="11"/>
        <v>1600</v>
      </c>
      <c r="N44" s="140">
        <v>2.31</v>
      </c>
      <c r="O44" s="159">
        <f t="shared" si="0"/>
        <v>3696</v>
      </c>
      <c r="P44" s="140">
        <v>400</v>
      </c>
      <c r="Q44" s="151">
        <f t="shared" si="12"/>
        <v>924</v>
      </c>
      <c r="R44" s="142">
        <v>400</v>
      </c>
      <c r="S44" s="151">
        <f t="shared" si="13"/>
        <v>924</v>
      </c>
      <c r="T44" s="140">
        <v>400</v>
      </c>
      <c r="U44" s="146">
        <f t="shared" si="14"/>
        <v>924</v>
      </c>
      <c r="V44" s="140">
        <v>400</v>
      </c>
      <c r="W44" s="146">
        <f t="shared" si="15"/>
        <v>924</v>
      </c>
      <c r="X44" s="146"/>
      <c r="Y44" s="206">
        <f t="shared" si="16"/>
        <v>0</v>
      </c>
      <c r="Z44" s="206">
        <f t="shared" si="17"/>
        <v>1600</v>
      </c>
      <c r="AA44" s="149">
        <f t="shared" si="18"/>
        <v>400</v>
      </c>
      <c r="AB44" s="149">
        <v>1300</v>
      </c>
      <c r="AC44" s="149">
        <v>3003</v>
      </c>
      <c r="AD44" s="149">
        <f t="shared" si="19"/>
        <v>2.31</v>
      </c>
      <c r="AE44" s="150">
        <f t="shared" si="9"/>
        <v>1733.3333333333335</v>
      </c>
    </row>
    <row r="45" spans="1:31" ht="15">
      <c r="A45" s="140">
        <v>10949</v>
      </c>
      <c r="B45" s="221">
        <v>41</v>
      </c>
      <c r="C45" s="225"/>
      <c r="D45" s="187" t="s">
        <v>285</v>
      </c>
      <c r="E45" s="187"/>
      <c r="F45" s="140">
        <v>1</v>
      </c>
      <c r="G45" s="140" t="s">
        <v>412</v>
      </c>
      <c r="H45" s="142">
        <v>200</v>
      </c>
      <c r="I45" s="143">
        <v>500</v>
      </c>
      <c r="J45" s="143">
        <f t="shared" si="10"/>
        <v>400</v>
      </c>
      <c r="K45" s="142">
        <v>500</v>
      </c>
      <c r="L45" s="140">
        <v>100</v>
      </c>
      <c r="M45" s="142">
        <f t="shared" si="11"/>
        <v>400</v>
      </c>
      <c r="N45" s="140">
        <v>3.21</v>
      </c>
      <c r="O45" s="159">
        <f aca="true" t="shared" si="20" ref="O45:O60">N45*M45</f>
        <v>1284</v>
      </c>
      <c r="P45" s="140">
        <v>0</v>
      </c>
      <c r="Q45" s="151">
        <f t="shared" si="12"/>
        <v>0</v>
      </c>
      <c r="R45" s="142">
        <v>200</v>
      </c>
      <c r="S45" s="151">
        <f t="shared" si="13"/>
        <v>642</v>
      </c>
      <c r="T45" s="140">
        <v>0</v>
      </c>
      <c r="U45" s="146">
        <f t="shared" si="14"/>
        <v>0</v>
      </c>
      <c r="V45" s="140">
        <v>200</v>
      </c>
      <c r="W45" s="146">
        <f t="shared" si="15"/>
        <v>642</v>
      </c>
      <c r="X45" s="146"/>
      <c r="Y45" s="206">
        <f t="shared" si="16"/>
        <v>0</v>
      </c>
      <c r="Z45" s="206">
        <f t="shared" si="17"/>
        <v>400</v>
      </c>
      <c r="AA45" s="149">
        <f t="shared" si="18"/>
        <v>100</v>
      </c>
      <c r="AB45" s="149">
        <v>300</v>
      </c>
      <c r="AC45" s="149">
        <v>963</v>
      </c>
      <c r="AD45" s="149">
        <f t="shared" si="19"/>
        <v>3.21</v>
      </c>
      <c r="AE45" s="150">
        <f aca="true" t="shared" si="21" ref="AE45:AE63">AB45/9*12</f>
        <v>400</v>
      </c>
    </row>
    <row r="46" spans="1:31" ht="15">
      <c r="A46" s="140">
        <v>10949</v>
      </c>
      <c r="B46" s="225">
        <v>42</v>
      </c>
      <c r="C46" s="221"/>
      <c r="D46" s="187" t="s">
        <v>286</v>
      </c>
      <c r="E46" s="187"/>
      <c r="F46" s="140">
        <v>1</v>
      </c>
      <c r="G46" s="140" t="s">
        <v>412</v>
      </c>
      <c r="H46" s="142">
        <v>1550</v>
      </c>
      <c r="I46" s="143">
        <v>1700</v>
      </c>
      <c r="J46" s="143">
        <f aca="true" t="shared" si="22" ref="J46:J60">AE46</f>
        <v>2666.666666666667</v>
      </c>
      <c r="K46" s="142">
        <v>2800</v>
      </c>
      <c r="L46" s="140">
        <v>200</v>
      </c>
      <c r="M46" s="142">
        <f aca="true" t="shared" si="23" ref="M46:M58">K46-L46</f>
        <v>2600</v>
      </c>
      <c r="N46" s="140">
        <v>3.21</v>
      </c>
      <c r="O46" s="159">
        <f t="shared" si="20"/>
        <v>8346</v>
      </c>
      <c r="P46" s="140">
        <v>700</v>
      </c>
      <c r="Q46" s="151">
        <f t="shared" si="12"/>
        <v>2247</v>
      </c>
      <c r="R46" s="142">
        <v>600</v>
      </c>
      <c r="S46" s="151">
        <f t="shared" si="13"/>
        <v>1926</v>
      </c>
      <c r="T46" s="140">
        <v>700</v>
      </c>
      <c r="U46" s="146">
        <f t="shared" si="14"/>
        <v>2247</v>
      </c>
      <c r="V46" s="140">
        <v>600</v>
      </c>
      <c r="W46" s="146">
        <f t="shared" si="15"/>
        <v>1926</v>
      </c>
      <c r="X46" s="146"/>
      <c r="Y46" s="206">
        <f t="shared" si="16"/>
        <v>0</v>
      </c>
      <c r="Z46" s="206">
        <f t="shared" si="17"/>
        <v>2600</v>
      </c>
      <c r="AA46" s="149">
        <f t="shared" si="18"/>
        <v>650</v>
      </c>
      <c r="AB46" s="149">
        <v>2000</v>
      </c>
      <c r="AC46" s="149">
        <v>6420</v>
      </c>
      <c r="AD46" s="149">
        <f t="shared" si="19"/>
        <v>3.21</v>
      </c>
      <c r="AE46" s="150">
        <f t="shared" si="21"/>
        <v>2666.666666666667</v>
      </c>
    </row>
    <row r="47" spans="1:31" ht="15">
      <c r="A47" s="140">
        <v>10949</v>
      </c>
      <c r="B47" s="221">
        <v>43</v>
      </c>
      <c r="C47" s="221"/>
      <c r="D47" s="187" t="s">
        <v>425</v>
      </c>
      <c r="E47" s="187"/>
      <c r="F47" s="140">
        <v>1</v>
      </c>
      <c r="G47" s="140" t="s">
        <v>412</v>
      </c>
      <c r="H47" s="142">
        <v>0</v>
      </c>
      <c r="I47" s="143">
        <v>90</v>
      </c>
      <c r="J47" s="143">
        <f t="shared" si="22"/>
        <v>133.33333333333331</v>
      </c>
      <c r="K47" s="142">
        <v>150</v>
      </c>
      <c r="L47" s="140">
        <v>50</v>
      </c>
      <c r="M47" s="142">
        <f t="shared" si="23"/>
        <v>100</v>
      </c>
      <c r="N47" s="140">
        <v>3.21</v>
      </c>
      <c r="O47" s="159">
        <f t="shared" si="20"/>
        <v>321</v>
      </c>
      <c r="P47" s="140">
        <v>0</v>
      </c>
      <c r="Q47" s="151">
        <f t="shared" si="12"/>
        <v>0</v>
      </c>
      <c r="R47" s="142">
        <v>0</v>
      </c>
      <c r="S47" s="151">
        <f t="shared" si="13"/>
        <v>0</v>
      </c>
      <c r="T47" s="140">
        <v>100</v>
      </c>
      <c r="U47" s="146">
        <f t="shared" si="14"/>
        <v>321</v>
      </c>
      <c r="V47" s="140">
        <v>0</v>
      </c>
      <c r="W47" s="146">
        <f t="shared" si="15"/>
        <v>0</v>
      </c>
      <c r="X47" s="146"/>
      <c r="Y47" s="206">
        <f t="shared" si="16"/>
        <v>0</v>
      </c>
      <c r="Z47" s="206">
        <f t="shared" si="17"/>
        <v>100</v>
      </c>
      <c r="AA47" s="149">
        <f t="shared" si="18"/>
        <v>25</v>
      </c>
      <c r="AB47" s="149">
        <v>100</v>
      </c>
      <c r="AC47" s="149">
        <v>321</v>
      </c>
      <c r="AD47" s="149">
        <f t="shared" si="19"/>
        <v>3.21</v>
      </c>
      <c r="AE47" s="150">
        <f t="shared" si="21"/>
        <v>133.33333333333331</v>
      </c>
    </row>
    <row r="48" spans="1:31" ht="15">
      <c r="A48" s="140">
        <v>10949</v>
      </c>
      <c r="B48" s="225">
        <v>44</v>
      </c>
      <c r="C48" s="225"/>
      <c r="D48" s="187" t="s">
        <v>287</v>
      </c>
      <c r="E48" s="187"/>
      <c r="F48" s="140">
        <v>1</v>
      </c>
      <c r="G48" s="140" t="s">
        <v>412</v>
      </c>
      <c r="H48" s="142">
        <v>300</v>
      </c>
      <c r="I48" s="143">
        <v>400</v>
      </c>
      <c r="J48" s="143">
        <f t="shared" si="22"/>
        <v>0</v>
      </c>
      <c r="K48" s="142">
        <v>300</v>
      </c>
      <c r="L48" s="140">
        <v>0</v>
      </c>
      <c r="M48" s="142">
        <f t="shared" si="23"/>
        <v>300</v>
      </c>
      <c r="N48" s="140">
        <v>3.21</v>
      </c>
      <c r="O48" s="159">
        <f t="shared" si="20"/>
        <v>963</v>
      </c>
      <c r="P48" s="140">
        <v>100</v>
      </c>
      <c r="Q48" s="151">
        <f aca="true" t="shared" si="24" ref="Q48:Q59">P48*N48</f>
        <v>321</v>
      </c>
      <c r="R48" s="142">
        <v>100</v>
      </c>
      <c r="S48" s="151">
        <f aca="true" t="shared" si="25" ref="S48:S59">R48*N48</f>
        <v>321</v>
      </c>
      <c r="T48" s="140">
        <v>100</v>
      </c>
      <c r="U48" s="146">
        <f aca="true" t="shared" si="26" ref="U48:U59">T48*N48</f>
        <v>321</v>
      </c>
      <c r="V48" s="140">
        <v>0</v>
      </c>
      <c r="W48" s="146">
        <f aca="true" t="shared" si="27" ref="W48:W59">V48*N48</f>
        <v>0</v>
      </c>
      <c r="X48" s="146"/>
      <c r="Y48" s="206">
        <f aca="true" t="shared" si="28" ref="Y48:Y58">M48-Z48</f>
        <v>0</v>
      </c>
      <c r="Z48" s="206">
        <f aca="true" t="shared" si="29" ref="Z48:Z58">P48+R48+T48+V48</f>
        <v>300</v>
      </c>
      <c r="AA48" s="149">
        <f aca="true" t="shared" si="30" ref="AA48:AA57">M48/4</f>
        <v>75</v>
      </c>
      <c r="AD48" s="149" t="e">
        <f aca="true" t="shared" si="31" ref="AD48:AD57">AC48/AB48</f>
        <v>#DIV/0!</v>
      </c>
      <c r="AE48" s="150">
        <f t="shared" si="21"/>
        <v>0</v>
      </c>
    </row>
    <row r="49" spans="1:31" ht="15">
      <c r="A49" s="140">
        <v>10949</v>
      </c>
      <c r="B49" s="221">
        <v>45</v>
      </c>
      <c r="C49" s="221"/>
      <c r="D49" s="187" t="s">
        <v>288</v>
      </c>
      <c r="E49" s="187"/>
      <c r="F49" s="140">
        <v>1</v>
      </c>
      <c r="G49" s="140" t="s">
        <v>407</v>
      </c>
      <c r="H49" s="142">
        <v>322</v>
      </c>
      <c r="I49" s="143">
        <v>145</v>
      </c>
      <c r="J49" s="143">
        <f t="shared" si="22"/>
        <v>160</v>
      </c>
      <c r="K49" s="142">
        <v>240</v>
      </c>
      <c r="L49" s="140">
        <v>60</v>
      </c>
      <c r="M49" s="142">
        <f t="shared" si="23"/>
        <v>180</v>
      </c>
      <c r="N49" s="140">
        <v>60</v>
      </c>
      <c r="O49" s="159">
        <f t="shared" si="20"/>
        <v>10800</v>
      </c>
      <c r="P49" s="140">
        <v>0</v>
      </c>
      <c r="Q49" s="151">
        <f t="shared" si="24"/>
        <v>0</v>
      </c>
      <c r="R49" s="142">
        <v>90</v>
      </c>
      <c r="S49" s="151">
        <f t="shared" si="25"/>
        <v>5400</v>
      </c>
      <c r="T49" s="140">
        <v>0</v>
      </c>
      <c r="U49" s="146">
        <f t="shared" si="26"/>
        <v>0</v>
      </c>
      <c r="V49" s="140">
        <v>90</v>
      </c>
      <c r="W49" s="146">
        <f t="shared" si="27"/>
        <v>5400</v>
      </c>
      <c r="X49" s="146"/>
      <c r="Y49" s="206">
        <f t="shared" si="28"/>
        <v>0</v>
      </c>
      <c r="Z49" s="206">
        <f t="shared" si="29"/>
        <v>180</v>
      </c>
      <c r="AA49" s="149">
        <f t="shared" si="30"/>
        <v>45</v>
      </c>
      <c r="AB49" s="149">
        <v>120</v>
      </c>
      <c r="AC49" s="149">
        <v>7200</v>
      </c>
      <c r="AD49" s="149">
        <f t="shared" si="31"/>
        <v>60</v>
      </c>
      <c r="AE49" s="150">
        <f t="shared" si="21"/>
        <v>160</v>
      </c>
    </row>
    <row r="50" spans="1:31" ht="15">
      <c r="A50" s="140">
        <v>10949</v>
      </c>
      <c r="B50" s="225">
        <v>46</v>
      </c>
      <c r="C50" s="221"/>
      <c r="D50" s="187" t="s">
        <v>289</v>
      </c>
      <c r="E50" s="187"/>
      <c r="F50" s="140">
        <v>1</v>
      </c>
      <c r="G50" s="140" t="s">
        <v>407</v>
      </c>
      <c r="H50" s="142">
        <v>17</v>
      </c>
      <c r="I50" s="143">
        <v>0</v>
      </c>
      <c r="J50" s="143">
        <f t="shared" si="22"/>
        <v>0</v>
      </c>
      <c r="K50" s="142">
        <v>10</v>
      </c>
      <c r="L50" s="140">
        <v>13</v>
      </c>
      <c r="M50" s="142">
        <v>0</v>
      </c>
      <c r="N50" s="140">
        <v>68</v>
      </c>
      <c r="O50" s="159">
        <f t="shared" si="20"/>
        <v>0</v>
      </c>
      <c r="P50" s="140">
        <v>0</v>
      </c>
      <c r="Q50" s="151">
        <f t="shared" si="24"/>
        <v>0</v>
      </c>
      <c r="R50" s="142">
        <v>0</v>
      </c>
      <c r="S50" s="151">
        <f t="shared" si="25"/>
        <v>0</v>
      </c>
      <c r="T50" s="140">
        <v>0</v>
      </c>
      <c r="U50" s="146">
        <f t="shared" si="26"/>
        <v>0</v>
      </c>
      <c r="V50" s="140">
        <v>0</v>
      </c>
      <c r="W50" s="146">
        <f t="shared" si="27"/>
        <v>0</v>
      </c>
      <c r="X50" s="146"/>
      <c r="Y50" s="206">
        <f t="shared" si="28"/>
        <v>0</v>
      </c>
      <c r="Z50" s="206">
        <f t="shared" si="29"/>
        <v>0</v>
      </c>
      <c r="AA50" s="149">
        <f t="shared" si="30"/>
        <v>0</v>
      </c>
      <c r="AD50" s="149" t="e">
        <f t="shared" si="31"/>
        <v>#DIV/0!</v>
      </c>
      <c r="AE50" s="150">
        <f t="shared" si="21"/>
        <v>0</v>
      </c>
    </row>
    <row r="51" spans="1:31" ht="15">
      <c r="A51" s="140">
        <v>10949</v>
      </c>
      <c r="B51" s="221">
        <v>47</v>
      </c>
      <c r="C51" s="225"/>
      <c r="D51" s="187" t="s">
        <v>453</v>
      </c>
      <c r="E51" s="187"/>
      <c r="F51" s="140">
        <v>1</v>
      </c>
      <c r="G51" s="140" t="s">
        <v>407</v>
      </c>
      <c r="H51" s="142">
        <v>2940</v>
      </c>
      <c r="I51" s="143">
        <v>2960</v>
      </c>
      <c r="J51" s="143">
        <f t="shared" si="22"/>
        <v>2800</v>
      </c>
      <c r="K51" s="142">
        <v>3000</v>
      </c>
      <c r="L51" s="140">
        <v>200</v>
      </c>
      <c r="M51" s="142">
        <f t="shared" si="23"/>
        <v>2800</v>
      </c>
      <c r="N51" s="140">
        <v>12.84</v>
      </c>
      <c r="O51" s="159">
        <f t="shared" si="20"/>
        <v>35952</v>
      </c>
      <c r="P51" s="140">
        <v>700</v>
      </c>
      <c r="Q51" s="151">
        <f t="shared" si="24"/>
        <v>8988</v>
      </c>
      <c r="R51" s="142">
        <v>700</v>
      </c>
      <c r="S51" s="151">
        <f t="shared" si="25"/>
        <v>8988</v>
      </c>
      <c r="T51" s="140">
        <v>700</v>
      </c>
      <c r="U51" s="146">
        <f t="shared" si="26"/>
        <v>8988</v>
      </c>
      <c r="V51" s="140">
        <v>700</v>
      </c>
      <c r="W51" s="146">
        <f t="shared" si="27"/>
        <v>8988</v>
      </c>
      <c r="X51" s="146"/>
      <c r="Y51" s="206">
        <f t="shared" si="28"/>
        <v>0</v>
      </c>
      <c r="Z51" s="206">
        <f t="shared" si="29"/>
        <v>2800</v>
      </c>
      <c r="AA51" s="149">
        <f t="shared" si="30"/>
        <v>700</v>
      </c>
      <c r="AB51" s="149">
        <f>42*50</f>
        <v>2100</v>
      </c>
      <c r="AC51" s="149">
        <v>14700</v>
      </c>
      <c r="AD51" s="149">
        <f t="shared" si="31"/>
        <v>7</v>
      </c>
      <c r="AE51" s="150">
        <f t="shared" si="21"/>
        <v>2800</v>
      </c>
    </row>
    <row r="52" spans="1:31" ht="15">
      <c r="A52" s="140">
        <v>10949</v>
      </c>
      <c r="B52" s="225">
        <v>48</v>
      </c>
      <c r="C52" s="221"/>
      <c r="D52" s="187" t="s">
        <v>290</v>
      </c>
      <c r="E52" s="187"/>
      <c r="F52" s="140">
        <v>1</v>
      </c>
      <c r="G52" s="140" t="s">
        <v>411</v>
      </c>
      <c r="H52" s="142">
        <v>2</v>
      </c>
      <c r="I52" s="143">
        <v>2</v>
      </c>
      <c r="J52" s="143">
        <f t="shared" si="22"/>
        <v>2.6666666666666665</v>
      </c>
      <c r="K52" s="142">
        <v>3</v>
      </c>
      <c r="L52" s="140">
        <v>1</v>
      </c>
      <c r="M52" s="142">
        <f t="shared" si="23"/>
        <v>2</v>
      </c>
      <c r="N52" s="140">
        <v>380</v>
      </c>
      <c r="O52" s="159">
        <f t="shared" si="20"/>
        <v>760</v>
      </c>
      <c r="P52" s="140">
        <v>0</v>
      </c>
      <c r="Q52" s="151">
        <f t="shared" si="24"/>
        <v>0</v>
      </c>
      <c r="R52" s="142">
        <v>1</v>
      </c>
      <c r="S52" s="151">
        <f t="shared" si="25"/>
        <v>380</v>
      </c>
      <c r="T52" s="140">
        <v>0</v>
      </c>
      <c r="U52" s="146">
        <f t="shared" si="26"/>
        <v>0</v>
      </c>
      <c r="V52" s="140">
        <v>1</v>
      </c>
      <c r="W52" s="146">
        <f t="shared" si="27"/>
        <v>380</v>
      </c>
      <c r="X52" s="146"/>
      <c r="Y52" s="206">
        <f t="shared" si="28"/>
        <v>0</v>
      </c>
      <c r="Z52" s="206">
        <f t="shared" si="29"/>
        <v>2</v>
      </c>
      <c r="AA52" s="149">
        <f t="shared" si="30"/>
        <v>0.5</v>
      </c>
      <c r="AB52" s="149">
        <v>2</v>
      </c>
      <c r="AC52" s="149">
        <v>760</v>
      </c>
      <c r="AD52" s="149">
        <f t="shared" si="31"/>
        <v>380</v>
      </c>
      <c r="AE52" s="150">
        <f t="shared" si="21"/>
        <v>2.6666666666666665</v>
      </c>
    </row>
    <row r="53" spans="1:31" ht="15">
      <c r="A53" s="140">
        <v>10949</v>
      </c>
      <c r="B53" s="221">
        <v>49</v>
      </c>
      <c r="C53" s="221"/>
      <c r="D53" s="187" t="s">
        <v>291</v>
      </c>
      <c r="E53" s="187"/>
      <c r="F53" s="140">
        <v>1</v>
      </c>
      <c r="G53" s="140" t="s">
        <v>381</v>
      </c>
      <c r="H53" s="142">
        <v>59</v>
      </c>
      <c r="I53" s="143">
        <v>62</v>
      </c>
      <c r="J53" s="143">
        <f t="shared" si="22"/>
        <v>80</v>
      </c>
      <c r="K53" s="142">
        <v>80</v>
      </c>
      <c r="L53" s="140">
        <v>0</v>
      </c>
      <c r="M53" s="142">
        <f t="shared" si="23"/>
        <v>80</v>
      </c>
      <c r="N53" s="140">
        <v>180</v>
      </c>
      <c r="O53" s="159">
        <f t="shared" si="20"/>
        <v>14400</v>
      </c>
      <c r="P53" s="140">
        <v>20</v>
      </c>
      <c r="Q53" s="151">
        <f t="shared" si="24"/>
        <v>3600</v>
      </c>
      <c r="R53" s="142">
        <v>20</v>
      </c>
      <c r="S53" s="151">
        <f t="shared" si="25"/>
        <v>3600</v>
      </c>
      <c r="T53" s="140">
        <v>20</v>
      </c>
      <c r="U53" s="146">
        <f t="shared" si="26"/>
        <v>3600</v>
      </c>
      <c r="V53" s="140">
        <v>20</v>
      </c>
      <c r="W53" s="146">
        <f t="shared" si="27"/>
        <v>3600</v>
      </c>
      <c r="X53" s="146"/>
      <c r="Y53" s="206">
        <f t="shared" si="28"/>
        <v>0</v>
      </c>
      <c r="Z53" s="206">
        <f t="shared" si="29"/>
        <v>80</v>
      </c>
      <c r="AA53" s="149">
        <f t="shared" si="30"/>
        <v>20</v>
      </c>
      <c r="AB53" s="149">
        <v>60</v>
      </c>
      <c r="AC53" s="149">
        <v>10800</v>
      </c>
      <c r="AD53" s="149">
        <f t="shared" si="31"/>
        <v>180</v>
      </c>
      <c r="AE53" s="150">
        <f t="shared" si="21"/>
        <v>80</v>
      </c>
    </row>
    <row r="54" spans="1:31" ht="15">
      <c r="A54" s="140">
        <v>10949</v>
      </c>
      <c r="B54" s="225">
        <v>50</v>
      </c>
      <c r="C54" s="225"/>
      <c r="D54" s="187" t="s">
        <v>292</v>
      </c>
      <c r="E54" s="187"/>
      <c r="F54" s="140">
        <v>1</v>
      </c>
      <c r="G54" s="140" t="s">
        <v>412</v>
      </c>
      <c r="H54" s="142">
        <v>24</v>
      </c>
      <c r="I54" s="143">
        <v>26</v>
      </c>
      <c r="J54" s="143">
        <f t="shared" si="22"/>
        <v>0</v>
      </c>
      <c r="K54" s="142">
        <v>24</v>
      </c>
      <c r="L54" s="140">
        <v>12</v>
      </c>
      <c r="M54" s="142">
        <f t="shared" si="23"/>
        <v>12</v>
      </c>
      <c r="N54" s="140">
        <v>10</v>
      </c>
      <c r="O54" s="159">
        <f t="shared" si="20"/>
        <v>120</v>
      </c>
      <c r="P54" s="140">
        <v>0</v>
      </c>
      <c r="Q54" s="151">
        <f t="shared" si="24"/>
        <v>0</v>
      </c>
      <c r="R54" s="140">
        <v>0</v>
      </c>
      <c r="S54" s="151">
        <f t="shared" si="25"/>
        <v>0</v>
      </c>
      <c r="T54" s="140">
        <v>12</v>
      </c>
      <c r="U54" s="146">
        <f t="shared" si="26"/>
        <v>120</v>
      </c>
      <c r="V54" s="140">
        <v>0</v>
      </c>
      <c r="W54" s="146">
        <f t="shared" si="27"/>
        <v>0</v>
      </c>
      <c r="X54" s="146"/>
      <c r="Y54" s="206">
        <f t="shared" si="28"/>
        <v>0</v>
      </c>
      <c r="Z54" s="206">
        <f t="shared" si="29"/>
        <v>12</v>
      </c>
      <c r="AA54" s="149">
        <f t="shared" si="30"/>
        <v>3</v>
      </c>
      <c r="AD54" s="149" t="e">
        <f t="shared" si="31"/>
        <v>#DIV/0!</v>
      </c>
      <c r="AE54" s="150">
        <f t="shared" si="21"/>
        <v>0</v>
      </c>
    </row>
    <row r="55" spans="1:31" ht="15">
      <c r="A55" s="140">
        <v>10949</v>
      </c>
      <c r="B55" s="221">
        <v>51</v>
      </c>
      <c r="C55" s="221"/>
      <c r="D55" s="187" t="s">
        <v>293</v>
      </c>
      <c r="E55" s="187"/>
      <c r="F55" s="140">
        <v>1</v>
      </c>
      <c r="G55" s="140" t="s">
        <v>412</v>
      </c>
      <c r="H55" s="142">
        <v>0</v>
      </c>
      <c r="I55" s="143">
        <v>0</v>
      </c>
      <c r="J55" s="143">
        <f t="shared" si="22"/>
        <v>0</v>
      </c>
      <c r="K55" s="142">
        <v>0</v>
      </c>
      <c r="L55" s="140">
        <v>30</v>
      </c>
      <c r="M55" s="142">
        <v>0</v>
      </c>
      <c r="N55" s="140">
        <v>3</v>
      </c>
      <c r="O55" s="159">
        <f t="shared" si="20"/>
        <v>0</v>
      </c>
      <c r="P55" s="140">
        <v>0</v>
      </c>
      <c r="Q55" s="151">
        <f t="shared" si="24"/>
        <v>0</v>
      </c>
      <c r="R55" s="140">
        <v>0</v>
      </c>
      <c r="S55" s="151">
        <f t="shared" si="25"/>
        <v>0</v>
      </c>
      <c r="T55" s="140">
        <v>0</v>
      </c>
      <c r="U55" s="146">
        <f t="shared" si="26"/>
        <v>0</v>
      </c>
      <c r="V55" s="140">
        <v>0</v>
      </c>
      <c r="W55" s="146">
        <f t="shared" si="27"/>
        <v>0</v>
      </c>
      <c r="X55" s="146"/>
      <c r="Y55" s="206">
        <f t="shared" si="28"/>
        <v>0</v>
      </c>
      <c r="Z55" s="206">
        <f t="shared" si="29"/>
        <v>0</v>
      </c>
      <c r="AA55" s="149">
        <f t="shared" si="30"/>
        <v>0</v>
      </c>
      <c r="AD55" s="149" t="e">
        <f t="shared" si="31"/>
        <v>#DIV/0!</v>
      </c>
      <c r="AE55" s="150">
        <f t="shared" si="21"/>
        <v>0</v>
      </c>
    </row>
    <row r="56" spans="1:31" ht="15">
      <c r="A56" s="140">
        <v>10949</v>
      </c>
      <c r="B56" s="225">
        <v>52</v>
      </c>
      <c r="C56" s="221"/>
      <c r="D56" s="187" t="s">
        <v>294</v>
      </c>
      <c r="E56" s="187"/>
      <c r="F56" s="140">
        <v>1</v>
      </c>
      <c r="G56" s="140" t="s">
        <v>407</v>
      </c>
      <c r="H56" s="142">
        <v>24000</v>
      </c>
      <c r="I56" s="143">
        <v>36000</v>
      </c>
      <c r="J56" s="143">
        <f t="shared" si="22"/>
        <v>10666.666666666668</v>
      </c>
      <c r="K56" s="142">
        <v>12000</v>
      </c>
      <c r="L56" s="142">
        <v>0</v>
      </c>
      <c r="M56" s="142">
        <f t="shared" si="23"/>
        <v>12000</v>
      </c>
      <c r="N56" s="163">
        <v>2.6</v>
      </c>
      <c r="O56" s="159">
        <f t="shared" si="20"/>
        <v>31200</v>
      </c>
      <c r="P56" s="140">
        <v>3000</v>
      </c>
      <c r="Q56" s="151">
        <f t="shared" si="24"/>
        <v>7800</v>
      </c>
      <c r="R56" s="142">
        <v>3000</v>
      </c>
      <c r="S56" s="151">
        <f t="shared" si="25"/>
        <v>7800</v>
      </c>
      <c r="T56" s="140">
        <v>3000</v>
      </c>
      <c r="U56" s="146">
        <f t="shared" si="26"/>
        <v>7800</v>
      </c>
      <c r="V56" s="140">
        <v>3000</v>
      </c>
      <c r="W56" s="146">
        <f t="shared" si="27"/>
        <v>7800</v>
      </c>
      <c r="X56" s="146"/>
      <c r="Y56" s="206">
        <f t="shared" si="28"/>
        <v>0</v>
      </c>
      <c r="Z56" s="206">
        <f t="shared" si="29"/>
        <v>12000</v>
      </c>
      <c r="AA56" s="149">
        <f t="shared" si="30"/>
        <v>3000</v>
      </c>
      <c r="AB56" s="149">
        <f>80*100</f>
        <v>8000</v>
      </c>
      <c r="AC56" s="149">
        <f>7359.49+733.01</f>
        <v>8092.5</v>
      </c>
      <c r="AD56" s="149">
        <f t="shared" si="31"/>
        <v>1.0115625</v>
      </c>
      <c r="AE56" s="150">
        <f t="shared" si="21"/>
        <v>10666.666666666668</v>
      </c>
    </row>
    <row r="57" spans="1:31" ht="15">
      <c r="A57" s="140">
        <v>10949</v>
      </c>
      <c r="B57" s="221">
        <v>53</v>
      </c>
      <c r="C57" s="225"/>
      <c r="D57" s="146" t="s">
        <v>547</v>
      </c>
      <c r="E57" s="146"/>
      <c r="F57" s="140">
        <v>1</v>
      </c>
      <c r="G57" s="140" t="s">
        <v>407</v>
      </c>
      <c r="H57" s="142">
        <v>5</v>
      </c>
      <c r="I57" s="143">
        <v>43</v>
      </c>
      <c r="J57" s="143">
        <f t="shared" si="22"/>
        <v>56</v>
      </c>
      <c r="K57" s="142">
        <v>60</v>
      </c>
      <c r="L57" s="140">
        <v>30</v>
      </c>
      <c r="M57" s="142">
        <f t="shared" si="23"/>
        <v>30</v>
      </c>
      <c r="N57" s="151">
        <v>1000</v>
      </c>
      <c r="O57" s="159">
        <f t="shared" si="20"/>
        <v>30000</v>
      </c>
      <c r="P57" s="140">
        <v>0</v>
      </c>
      <c r="Q57" s="151">
        <f t="shared" si="24"/>
        <v>0</v>
      </c>
      <c r="R57" s="142">
        <v>15</v>
      </c>
      <c r="S57" s="151">
        <f t="shared" si="25"/>
        <v>15000</v>
      </c>
      <c r="T57" s="140">
        <v>0</v>
      </c>
      <c r="U57" s="146">
        <f t="shared" si="26"/>
        <v>0</v>
      </c>
      <c r="V57" s="140">
        <v>15</v>
      </c>
      <c r="W57" s="146">
        <f t="shared" si="27"/>
        <v>15000</v>
      </c>
      <c r="X57" s="146"/>
      <c r="Y57" s="206">
        <f t="shared" si="28"/>
        <v>0</v>
      </c>
      <c r="Z57" s="206">
        <f t="shared" si="29"/>
        <v>30</v>
      </c>
      <c r="AA57" s="149">
        <f t="shared" si="30"/>
        <v>7.5</v>
      </c>
      <c r="AB57" s="149">
        <v>42</v>
      </c>
      <c r="AC57" s="149">
        <v>35952</v>
      </c>
      <c r="AD57" s="149">
        <f t="shared" si="31"/>
        <v>856</v>
      </c>
      <c r="AE57" s="150">
        <f t="shared" si="21"/>
        <v>56</v>
      </c>
    </row>
    <row r="58" spans="1:31" ht="15" hidden="1">
      <c r="A58" s="140">
        <v>10949</v>
      </c>
      <c r="B58" s="225">
        <v>54</v>
      </c>
      <c r="C58" s="221"/>
      <c r="D58" s="187" t="s">
        <v>1509</v>
      </c>
      <c r="E58" s="187"/>
      <c r="F58" s="190">
        <v>1</v>
      </c>
      <c r="G58" s="190" t="s">
        <v>407</v>
      </c>
      <c r="H58" s="142">
        <v>0</v>
      </c>
      <c r="I58" s="142">
        <v>28</v>
      </c>
      <c r="J58" s="143">
        <f t="shared" si="22"/>
        <v>0</v>
      </c>
      <c r="K58" s="142">
        <v>0</v>
      </c>
      <c r="L58" s="140">
        <v>0</v>
      </c>
      <c r="M58" s="142">
        <f t="shared" si="23"/>
        <v>0</v>
      </c>
      <c r="N58" s="140">
        <v>44</v>
      </c>
      <c r="O58" s="159">
        <f t="shared" si="20"/>
        <v>0</v>
      </c>
      <c r="P58" s="140"/>
      <c r="Q58" s="140">
        <f t="shared" si="24"/>
        <v>0</v>
      </c>
      <c r="R58" s="142"/>
      <c r="S58" s="151">
        <f t="shared" si="25"/>
        <v>0</v>
      </c>
      <c r="T58" s="140"/>
      <c r="U58" s="146">
        <f t="shared" si="26"/>
        <v>0</v>
      </c>
      <c r="V58" s="140"/>
      <c r="W58" s="146">
        <f t="shared" si="27"/>
        <v>0</v>
      </c>
      <c r="X58" s="146"/>
      <c r="Y58" s="206">
        <f t="shared" si="28"/>
        <v>0</v>
      </c>
      <c r="Z58" s="206">
        <f t="shared" si="29"/>
        <v>0</v>
      </c>
      <c r="AD58" s="149" t="e">
        <f aca="true" t="shared" si="32" ref="AD58:AD63">AC58/AB58</f>
        <v>#DIV/0!</v>
      </c>
      <c r="AE58" s="150">
        <f t="shared" si="21"/>
        <v>0</v>
      </c>
    </row>
    <row r="59" spans="1:31" ht="15" hidden="1">
      <c r="A59" s="140">
        <v>10949</v>
      </c>
      <c r="B59" s="221">
        <v>55</v>
      </c>
      <c r="C59" s="221"/>
      <c r="D59" s="187" t="s">
        <v>1544</v>
      </c>
      <c r="E59" s="187"/>
      <c r="F59" s="190">
        <v>100</v>
      </c>
      <c r="G59" s="190" t="s">
        <v>1348</v>
      </c>
      <c r="H59" s="140">
        <v>0</v>
      </c>
      <c r="I59" s="142">
        <v>400</v>
      </c>
      <c r="J59" s="143">
        <f t="shared" si="22"/>
        <v>2.6666666666666665</v>
      </c>
      <c r="K59" s="142">
        <f>(H59+I59+J59)/3*1.05</f>
        <v>140.93333333333334</v>
      </c>
      <c r="L59" s="140">
        <v>0</v>
      </c>
      <c r="M59" s="142"/>
      <c r="N59" s="140">
        <v>100</v>
      </c>
      <c r="O59" s="159">
        <f t="shared" si="20"/>
        <v>0</v>
      </c>
      <c r="P59" s="140"/>
      <c r="Q59" s="140">
        <f t="shared" si="24"/>
        <v>0</v>
      </c>
      <c r="R59" s="142"/>
      <c r="S59" s="151">
        <f t="shared" si="25"/>
        <v>0</v>
      </c>
      <c r="T59" s="146"/>
      <c r="U59" s="146">
        <f t="shared" si="26"/>
        <v>0</v>
      </c>
      <c r="V59" s="146"/>
      <c r="W59" s="146">
        <f t="shared" si="27"/>
        <v>0</v>
      </c>
      <c r="X59" s="146"/>
      <c r="AB59" s="149">
        <v>2</v>
      </c>
      <c r="AC59" s="149">
        <v>35000</v>
      </c>
      <c r="AD59" s="149">
        <f t="shared" si="32"/>
        <v>17500</v>
      </c>
      <c r="AE59" s="150">
        <f t="shared" si="21"/>
        <v>2.6666666666666665</v>
      </c>
    </row>
    <row r="60" spans="1:31" ht="15" hidden="1">
      <c r="A60" s="140">
        <v>10949</v>
      </c>
      <c r="B60" s="225">
        <v>56</v>
      </c>
      <c r="C60" s="221"/>
      <c r="D60" s="187" t="s">
        <v>1573</v>
      </c>
      <c r="E60" s="187"/>
      <c r="F60" s="140">
        <v>1</v>
      </c>
      <c r="G60" s="140" t="s">
        <v>407</v>
      </c>
      <c r="H60" s="140"/>
      <c r="I60" s="142"/>
      <c r="J60" s="143">
        <f t="shared" si="22"/>
        <v>486.6666666666667</v>
      </c>
      <c r="K60" s="142">
        <f>(H60+I60+J60)/3*1.05</f>
        <v>170.33333333333334</v>
      </c>
      <c r="L60" s="140">
        <v>0</v>
      </c>
      <c r="M60" s="142"/>
      <c r="N60" s="140"/>
      <c r="O60" s="159">
        <f t="shared" si="20"/>
        <v>0</v>
      </c>
      <c r="P60" s="140"/>
      <c r="Q60" s="140"/>
      <c r="R60" s="142"/>
      <c r="S60" s="151"/>
      <c r="T60" s="146"/>
      <c r="U60" s="146"/>
      <c r="V60" s="146"/>
      <c r="W60" s="146"/>
      <c r="X60" s="146"/>
      <c r="AB60" s="149">
        <v>365</v>
      </c>
      <c r="AC60" s="149">
        <v>19363.5</v>
      </c>
      <c r="AD60" s="149">
        <f t="shared" si="32"/>
        <v>53.05068493150685</v>
      </c>
      <c r="AE60" s="150">
        <f t="shared" si="21"/>
        <v>486.6666666666667</v>
      </c>
    </row>
    <row r="61" spans="1:31" ht="15">
      <c r="A61" s="140">
        <v>10949</v>
      </c>
      <c r="B61" s="221">
        <v>57</v>
      </c>
      <c r="C61" s="225"/>
      <c r="D61" s="187"/>
      <c r="E61" s="187"/>
      <c r="F61" s="140"/>
      <c r="G61" s="140"/>
      <c r="H61" s="140"/>
      <c r="I61" s="142"/>
      <c r="J61" s="142"/>
      <c r="K61" s="142"/>
      <c r="L61" s="140"/>
      <c r="M61" s="142"/>
      <c r="N61" s="140"/>
      <c r="O61" s="159"/>
      <c r="P61" s="140"/>
      <c r="Q61" s="140"/>
      <c r="R61" s="142"/>
      <c r="S61" s="151"/>
      <c r="T61" s="146"/>
      <c r="U61" s="146"/>
      <c r="V61" s="146"/>
      <c r="W61" s="146"/>
      <c r="X61" s="146"/>
      <c r="AD61" s="149" t="e">
        <f t="shared" si="32"/>
        <v>#DIV/0!</v>
      </c>
      <c r="AE61" s="150">
        <f t="shared" si="21"/>
        <v>0</v>
      </c>
    </row>
    <row r="62" spans="1:31" ht="15">
      <c r="A62" s="140">
        <v>10949</v>
      </c>
      <c r="B62" s="225">
        <v>58</v>
      </c>
      <c r="C62" s="221"/>
      <c r="D62" s="187"/>
      <c r="E62" s="187"/>
      <c r="F62" s="140"/>
      <c r="G62" s="140"/>
      <c r="H62" s="140"/>
      <c r="I62" s="142"/>
      <c r="J62" s="142"/>
      <c r="K62" s="142"/>
      <c r="L62" s="140"/>
      <c r="M62" s="142"/>
      <c r="N62" s="140"/>
      <c r="O62" s="159"/>
      <c r="P62" s="140"/>
      <c r="Q62" s="140"/>
      <c r="R62" s="142"/>
      <c r="S62" s="151"/>
      <c r="T62" s="146"/>
      <c r="U62" s="146"/>
      <c r="V62" s="146"/>
      <c r="W62" s="146"/>
      <c r="X62" s="146"/>
      <c r="AD62" s="149" t="e">
        <f t="shared" si="32"/>
        <v>#DIV/0!</v>
      </c>
      <c r="AE62" s="150">
        <f t="shared" si="21"/>
        <v>0</v>
      </c>
    </row>
    <row r="63" spans="13:31" ht="15">
      <c r="M63" s="183"/>
      <c r="N63" s="272" t="s">
        <v>1392</v>
      </c>
      <c r="O63" s="263">
        <f>SUM(O3:O62)</f>
        <v>803820.42</v>
      </c>
      <c r="P63" s="140"/>
      <c r="Q63" s="151">
        <f>SUM(Q3:Q62)</f>
        <v>181209.9</v>
      </c>
      <c r="R63" s="151"/>
      <c r="S63" s="151">
        <f>SUM(S3:S62)</f>
        <v>211124.26</v>
      </c>
      <c r="T63" s="151"/>
      <c r="U63" s="151">
        <f>SUM(U3:U62)</f>
        <v>202998.5</v>
      </c>
      <c r="V63" s="151"/>
      <c r="W63" s="151">
        <f>SUM(W3:W62)</f>
        <v>208487.76</v>
      </c>
      <c r="X63" s="146"/>
      <c r="AD63" s="149" t="e">
        <f t="shared" si="32"/>
        <v>#DIV/0!</v>
      </c>
      <c r="AE63" s="150">
        <f t="shared" si="21"/>
        <v>0</v>
      </c>
    </row>
    <row r="64" spans="15:23" ht="15">
      <c r="O64" s="264"/>
      <c r="P64" s="157"/>
      <c r="Q64" s="265"/>
      <c r="R64" s="265"/>
      <c r="S64" s="265"/>
      <c r="T64" s="265"/>
      <c r="U64" s="265"/>
      <c r="V64" s="265"/>
      <c r="W64" s="265"/>
    </row>
    <row r="65" spans="15:23" ht="15">
      <c r="O65" s="264"/>
      <c r="P65" s="157"/>
      <c r="Q65" s="265"/>
      <c r="R65" s="265"/>
      <c r="S65" s="265"/>
      <c r="T65" s="265"/>
      <c r="U65" s="265"/>
      <c r="V65" s="265"/>
      <c r="W65" s="265"/>
    </row>
    <row r="66" spans="15:23" ht="15">
      <c r="O66" s="264"/>
      <c r="P66" s="157"/>
      <c r="Q66" s="265"/>
      <c r="R66" s="265"/>
      <c r="S66" s="265"/>
      <c r="T66" s="265"/>
      <c r="U66" s="265"/>
      <c r="V66" s="265"/>
      <c r="W66" s="265"/>
    </row>
    <row r="67" spans="17:31" ht="15">
      <c r="Q67" s="149"/>
      <c r="R67" s="149"/>
      <c r="S67" s="149"/>
      <c r="AA67" s="150"/>
      <c r="AE67" s="149"/>
    </row>
    <row r="68" spans="6:31" ht="21.75">
      <c r="F68" s="231"/>
      <c r="G68" s="231"/>
      <c r="H68" s="125"/>
      <c r="I68" s="125"/>
      <c r="J68" s="125"/>
      <c r="K68" s="125"/>
      <c r="L68" s="125"/>
      <c r="M68" s="129"/>
      <c r="N68" s="125"/>
      <c r="O68" s="129"/>
      <c r="P68" s="125"/>
      <c r="Q68" s="232"/>
      <c r="R68" s="128"/>
      <c r="S68" s="128"/>
      <c r="T68" s="128"/>
      <c r="U68" s="128"/>
      <c r="V68" s="128"/>
      <c r="W68" s="128"/>
      <c r="X68" s="128"/>
      <c r="Y68" s="128"/>
      <c r="AA68" s="150"/>
      <c r="AE68" s="149"/>
    </row>
    <row r="69" spans="6:25" ht="21.75">
      <c r="F69" s="231"/>
      <c r="G69" s="125" t="s">
        <v>1577</v>
      </c>
      <c r="H69" s="231"/>
      <c r="I69" s="231"/>
      <c r="J69" s="231"/>
      <c r="K69" s="125"/>
      <c r="L69" s="125" t="s">
        <v>1393</v>
      </c>
      <c r="M69" s="125"/>
      <c r="N69" s="231"/>
      <c r="O69" s="232"/>
      <c r="P69" s="128" t="s">
        <v>1394</v>
      </c>
      <c r="Q69" s="128"/>
      <c r="R69" s="231"/>
      <c r="S69" s="231"/>
      <c r="T69" s="128"/>
      <c r="U69" s="128" t="s">
        <v>1451</v>
      </c>
      <c r="V69" s="128"/>
      <c r="W69" s="125"/>
      <c r="X69" s="128"/>
      <c r="Y69" s="125"/>
    </row>
    <row r="70" spans="6:25" ht="21.75">
      <c r="F70" s="231"/>
      <c r="G70" s="125" t="s">
        <v>1578</v>
      </c>
      <c r="H70" s="231"/>
      <c r="I70" s="231"/>
      <c r="J70" s="231"/>
      <c r="K70" s="125"/>
      <c r="L70" s="125" t="s">
        <v>1395</v>
      </c>
      <c r="M70" s="125"/>
      <c r="N70" s="231"/>
      <c r="O70" s="232"/>
      <c r="P70" s="128" t="s">
        <v>1396</v>
      </c>
      <c r="Q70" s="128"/>
      <c r="R70" s="231"/>
      <c r="S70" s="231"/>
      <c r="T70" s="128"/>
      <c r="U70" s="128" t="s">
        <v>1397</v>
      </c>
      <c r="V70" s="128"/>
      <c r="W70" s="125"/>
      <c r="X70" s="128"/>
      <c r="Y70" s="125"/>
    </row>
    <row r="71" spans="6:25" ht="21.75">
      <c r="F71" s="231"/>
      <c r="G71" s="125" t="s">
        <v>1580</v>
      </c>
      <c r="H71" s="231"/>
      <c r="I71" s="231"/>
      <c r="J71" s="231"/>
      <c r="K71" s="125"/>
      <c r="L71" s="125" t="s">
        <v>1581</v>
      </c>
      <c r="M71" s="125"/>
      <c r="N71" s="231"/>
      <c r="O71" s="232"/>
      <c r="P71" s="128" t="s">
        <v>1398</v>
      </c>
      <c r="Q71" s="128"/>
      <c r="R71" s="231"/>
      <c r="S71" s="231"/>
      <c r="T71" s="128"/>
      <c r="U71" s="128" t="s">
        <v>1399</v>
      </c>
      <c r="V71" s="128"/>
      <c r="W71" s="125"/>
      <c r="X71" s="128"/>
      <c r="Y71" s="125"/>
    </row>
    <row r="72" ht="15"/>
    <row r="73" ht="15"/>
    <row r="74" spans="13:31" ht="15">
      <c r="M74" s="266" t="s">
        <v>1492</v>
      </c>
      <c r="O74" s="267">
        <f>O63+วมย!O122+วัสดุวิทยาศาสตร์!R13</f>
        <v>4267071.736399999</v>
      </c>
      <c r="P74" s="268" t="s">
        <v>1450</v>
      </c>
      <c r="Q74" s="149"/>
      <c r="R74" s="149"/>
      <c r="S74" s="269"/>
      <c r="AA74" s="150"/>
      <c r="AE74" s="149"/>
    </row>
    <row r="75" spans="13:31" ht="15">
      <c r="M75" s="266" t="s">
        <v>1448</v>
      </c>
      <c r="O75" s="267"/>
      <c r="P75" s="268"/>
      <c r="Q75" s="149"/>
      <c r="R75" s="149"/>
      <c r="S75" s="269"/>
      <c r="AA75" s="150"/>
      <c r="AE75" s="149"/>
    </row>
    <row r="76" spans="13:31" ht="15">
      <c r="M76" s="266" t="s">
        <v>1449</v>
      </c>
      <c r="O76" s="267">
        <v>3344793.445266667</v>
      </c>
      <c r="Q76" s="149"/>
      <c r="R76" s="149"/>
      <c r="S76" s="269"/>
      <c r="AA76" s="150"/>
      <c r="AE76" s="149"/>
    </row>
    <row r="77" spans="13:31" ht="15">
      <c r="M77" s="182" t="s">
        <v>1384</v>
      </c>
      <c r="O77" s="229">
        <v>3542890.44</v>
      </c>
      <c r="P77" s="182" t="s">
        <v>1383</v>
      </c>
      <c r="Q77" s="156">
        <f>O77*1.05</f>
        <v>3720034.9620000003</v>
      </c>
      <c r="R77" s="149" t="s">
        <v>1386</v>
      </c>
      <c r="S77" s="156">
        <v>3416122.62</v>
      </c>
      <c r="AA77" s="150"/>
      <c r="AE77" s="149"/>
    </row>
    <row r="78" spans="13:31" ht="15">
      <c r="M78" s="182" t="s">
        <v>1385</v>
      </c>
      <c r="O78" s="229">
        <v>3419149.85</v>
      </c>
      <c r="P78" s="182" t="s">
        <v>1383</v>
      </c>
      <c r="Q78" s="156">
        <f>O78*1.05</f>
        <v>3590107.3425000003</v>
      </c>
      <c r="R78" s="149" t="s">
        <v>1387</v>
      </c>
      <c r="S78" s="156">
        <f>O77-S77</f>
        <v>126767.81999999983</v>
      </c>
      <c r="W78" s="149" t="s">
        <v>1404</v>
      </c>
      <c r="AA78" s="150"/>
      <c r="AE78" s="149"/>
    </row>
    <row r="79" ht="15"/>
    <row r="80" spans="1:31" ht="15">
      <c r="A80" s="140">
        <v>10949</v>
      </c>
      <c r="B80" s="225">
        <v>14</v>
      </c>
      <c r="C80" s="225"/>
      <c r="D80" s="187" t="s">
        <v>239</v>
      </c>
      <c r="E80" s="187"/>
      <c r="F80" s="140">
        <v>1</v>
      </c>
      <c r="G80" s="140" t="s">
        <v>409</v>
      </c>
      <c r="H80" s="142">
        <v>0</v>
      </c>
      <c r="I80" s="143">
        <v>0</v>
      </c>
      <c r="J80" s="143">
        <f aca="true" t="shared" si="33" ref="J80:J101">AE80</f>
        <v>0</v>
      </c>
      <c r="K80" s="142">
        <v>0</v>
      </c>
      <c r="L80" s="142">
        <v>10</v>
      </c>
      <c r="M80" s="142">
        <v>0</v>
      </c>
      <c r="N80" s="140">
        <v>28</v>
      </c>
      <c r="O80" s="159">
        <f aca="true" t="shared" si="34" ref="O80:O101">N80*M80</f>
        <v>0</v>
      </c>
      <c r="P80" s="140">
        <v>0</v>
      </c>
      <c r="Q80" s="151">
        <f aca="true" t="shared" si="35" ref="Q80:Q101">P80*N80</f>
        <v>0</v>
      </c>
      <c r="R80" s="140">
        <v>0</v>
      </c>
      <c r="S80" s="151">
        <f aca="true" t="shared" si="36" ref="S80:S101">R80*N80</f>
        <v>0</v>
      </c>
      <c r="T80" s="140">
        <v>0</v>
      </c>
      <c r="U80" s="146">
        <f aca="true" t="shared" si="37" ref="U80:U101">T80*N80</f>
        <v>0</v>
      </c>
      <c r="V80" s="140">
        <v>0</v>
      </c>
      <c r="W80" s="146">
        <f aca="true" t="shared" si="38" ref="W80:W101">V80*N80</f>
        <v>0</v>
      </c>
      <c r="X80" s="146"/>
      <c r="Y80" s="206">
        <f aca="true" t="shared" si="39" ref="Y80:Y101">M80-Z80</f>
        <v>0</v>
      </c>
      <c r="Z80" s="206">
        <f aca="true" t="shared" si="40" ref="Z80:Z101">P80+R80+T80+V80</f>
        <v>0</v>
      </c>
      <c r="AA80" s="149">
        <f aca="true" t="shared" si="41" ref="AA80:AA101">M80/4</f>
        <v>0</v>
      </c>
      <c r="AD80" s="149" t="e">
        <f aca="true" t="shared" si="42" ref="AD80:AD101">AC80/AB80</f>
        <v>#DIV/0!</v>
      </c>
      <c r="AE80" s="150">
        <f aca="true" t="shared" si="43" ref="AE80:AE101">AB80/9*12</f>
        <v>0</v>
      </c>
    </row>
    <row r="81" spans="1:31" ht="15">
      <c r="A81" s="140">
        <v>10949</v>
      </c>
      <c r="B81" s="221">
        <v>15</v>
      </c>
      <c r="C81" s="221"/>
      <c r="D81" s="187" t="s">
        <v>240</v>
      </c>
      <c r="E81" s="187"/>
      <c r="F81" s="140">
        <v>1</v>
      </c>
      <c r="G81" s="140" t="s">
        <v>409</v>
      </c>
      <c r="H81" s="142">
        <v>0</v>
      </c>
      <c r="I81" s="143">
        <v>10</v>
      </c>
      <c r="J81" s="143">
        <f t="shared" si="33"/>
        <v>0</v>
      </c>
      <c r="K81" s="142">
        <v>10</v>
      </c>
      <c r="L81" s="142">
        <v>0</v>
      </c>
      <c r="M81" s="142">
        <f>K81-L81</f>
        <v>10</v>
      </c>
      <c r="N81" s="140">
        <v>28</v>
      </c>
      <c r="O81" s="159">
        <f t="shared" si="34"/>
        <v>280</v>
      </c>
      <c r="P81" s="140">
        <v>10</v>
      </c>
      <c r="Q81" s="151">
        <f t="shared" si="35"/>
        <v>280</v>
      </c>
      <c r="R81" s="140">
        <v>0</v>
      </c>
      <c r="S81" s="151">
        <f t="shared" si="36"/>
        <v>0</v>
      </c>
      <c r="T81" s="140">
        <v>0</v>
      </c>
      <c r="U81" s="146">
        <f t="shared" si="37"/>
        <v>0</v>
      </c>
      <c r="V81" s="140">
        <v>0</v>
      </c>
      <c r="W81" s="146">
        <f t="shared" si="38"/>
        <v>0</v>
      </c>
      <c r="X81" s="146"/>
      <c r="Y81" s="206">
        <f t="shared" si="39"/>
        <v>0</v>
      </c>
      <c r="Z81" s="206">
        <f t="shared" si="40"/>
        <v>10</v>
      </c>
      <c r="AA81" s="149">
        <f t="shared" si="41"/>
        <v>2.5</v>
      </c>
      <c r="AD81" s="149" t="e">
        <f t="shared" si="42"/>
        <v>#DIV/0!</v>
      </c>
      <c r="AE81" s="150">
        <f t="shared" si="43"/>
        <v>0</v>
      </c>
    </row>
    <row r="82" spans="1:31" ht="15">
      <c r="A82" s="140">
        <v>10949</v>
      </c>
      <c r="B82" s="221">
        <v>16</v>
      </c>
      <c r="C82" s="221"/>
      <c r="D82" s="187" t="s">
        <v>241</v>
      </c>
      <c r="E82" s="187"/>
      <c r="F82" s="140">
        <v>1</v>
      </c>
      <c r="G82" s="140" t="s">
        <v>409</v>
      </c>
      <c r="H82" s="142">
        <v>10</v>
      </c>
      <c r="I82" s="143">
        <v>0</v>
      </c>
      <c r="J82" s="143">
        <f t="shared" si="33"/>
        <v>0</v>
      </c>
      <c r="K82" s="142">
        <v>10</v>
      </c>
      <c r="L82" s="142">
        <v>0</v>
      </c>
      <c r="M82" s="142">
        <f>K82-L82</f>
        <v>10</v>
      </c>
      <c r="N82" s="140">
        <v>28</v>
      </c>
      <c r="O82" s="159">
        <f t="shared" si="34"/>
        <v>280</v>
      </c>
      <c r="P82" s="140">
        <v>10</v>
      </c>
      <c r="Q82" s="151">
        <f t="shared" si="35"/>
        <v>280</v>
      </c>
      <c r="R82" s="140">
        <v>0</v>
      </c>
      <c r="S82" s="151">
        <f t="shared" si="36"/>
        <v>0</v>
      </c>
      <c r="T82" s="140">
        <v>0</v>
      </c>
      <c r="U82" s="146">
        <f t="shared" si="37"/>
        <v>0</v>
      </c>
      <c r="V82" s="140">
        <v>0</v>
      </c>
      <c r="W82" s="146">
        <f t="shared" si="38"/>
        <v>0</v>
      </c>
      <c r="X82" s="146"/>
      <c r="Y82" s="206">
        <f t="shared" si="39"/>
        <v>0</v>
      </c>
      <c r="Z82" s="206">
        <f t="shared" si="40"/>
        <v>10</v>
      </c>
      <c r="AA82" s="149">
        <f t="shared" si="41"/>
        <v>2.5</v>
      </c>
      <c r="AD82" s="149" t="e">
        <f t="shared" si="42"/>
        <v>#DIV/0!</v>
      </c>
      <c r="AE82" s="150">
        <f t="shared" si="43"/>
        <v>0</v>
      </c>
    </row>
    <row r="83" spans="1:31" ht="15">
      <c r="A83" s="140">
        <v>10949</v>
      </c>
      <c r="B83" s="225">
        <v>17</v>
      </c>
      <c r="C83" s="225"/>
      <c r="D83" s="187" t="s">
        <v>242</v>
      </c>
      <c r="E83" s="187"/>
      <c r="F83" s="140">
        <v>1</v>
      </c>
      <c r="G83" s="140" t="s">
        <v>409</v>
      </c>
      <c r="H83" s="142">
        <v>0</v>
      </c>
      <c r="I83" s="143">
        <v>0</v>
      </c>
      <c r="J83" s="143">
        <f t="shared" si="33"/>
        <v>0</v>
      </c>
      <c r="K83" s="142">
        <v>0</v>
      </c>
      <c r="L83" s="142">
        <v>0</v>
      </c>
      <c r="M83" s="142">
        <v>0</v>
      </c>
      <c r="N83" s="140">
        <v>28</v>
      </c>
      <c r="O83" s="159">
        <f t="shared" si="34"/>
        <v>0</v>
      </c>
      <c r="P83" s="140">
        <v>0</v>
      </c>
      <c r="Q83" s="151">
        <f t="shared" si="35"/>
        <v>0</v>
      </c>
      <c r="R83" s="140">
        <v>0</v>
      </c>
      <c r="S83" s="151">
        <f t="shared" si="36"/>
        <v>0</v>
      </c>
      <c r="T83" s="140">
        <v>0</v>
      </c>
      <c r="U83" s="146">
        <f t="shared" si="37"/>
        <v>0</v>
      </c>
      <c r="V83" s="140">
        <v>0</v>
      </c>
      <c r="W83" s="146">
        <f t="shared" si="38"/>
        <v>0</v>
      </c>
      <c r="X83" s="146"/>
      <c r="Y83" s="206">
        <f t="shared" si="39"/>
        <v>0</v>
      </c>
      <c r="Z83" s="206">
        <f t="shared" si="40"/>
        <v>0</v>
      </c>
      <c r="AA83" s="149">
        <f t="shared" si="41"/>
        <v>0</v>
      </c>
      <c r="AD83" s="149" t="e">
        <f t="shared" si="42"/>
        <v>#DIV/0!</v>
      </c>
      <c r="AE83" s="150">
        <f t="shared" si="43"/>
        <v>0</v>
      </c>
    </row>
    <row r="84" spans="1:31" ht="15">
      <c r="A84" s="140">
        <v>10949</v>
      </c>
      <c r="B84" s="221">
        <v>18</v>
      </c>
      <c r="C84" s="221"/>
      <c r="D84" s="187" t="s">
        <v>243</v>
      </c>
      <c r="E84" s="187"/>
      <c r="F84" s="140">
        <v>1</v>
      </c>
      <c r="G84" s="140" t="s">
        <v>409</v>
      </c>
      <c r="H84" s="142">
        <v>0</v>
      </c>
      <c r="I84" s="143">
        <v>0</v>
      </c>
      <c r="J84" s="143">
        <f t="shared" si="33"/>
        <v>0</v>
      </c>
      <c r="K84" s="142">
        <v>0</v>
      </c>
      <c r="L84" s="142">
        <v>10</v>
      </c>
      <c r="M84" s="142">
        <v>0</v>
      </c>
      <c r="N84" s="140">
        <v>28</v>
      </c>
      <c r="O84" s="159">
        <f t="shared" si="34"/>
        <v>0</v>
      </c>
      <c r="P84" s="140">
        <v>0</v>
      </c>
      <c r="Q84" s="151">
        <f t="shared" si="35"/>
        <v>0</v>
      </c>
      <c r="R84" s="140">
        <v>0</v>
      </c>
      <c r="S84" s="151">
        <f t="shared" si="36"/>
        <v>0</v>
      </c>
      <c r="T84" s="140">
        <v>0</v>
      </c>
      <c r="U84" s="146">
        <f t="shared" si="37"/>
        <v>0</v>
      </c>
      <c r="V84" s="140">
        <v>0</v>
      </c>
      <c r="W84" s="146">
        <f t="shared" si="38"/>
        <v>0</v>
      </c>
      <c r="X84" s="146"/>
      <c r="Y84" s="206">
        <f t="shared" si="39"/>
        <v>0</v>
      </c>
      <c r="Z84" s="206">
        <f t="shared" si="40"/>
        <v>0</v>
      </c>
      <c r="AA84" s="149">
        <f t="shared" si="41"/>
        <v>0</v>
      </c>
      <c r="AD84" s="149" t="e">
        <f t="shared" si="42"/>
        <v>#DIV/0!</v>
      </c>
      <c r="AE84" s="150">
        <f t="shared" si="43"/>
        <v>0</v>
      </c>
    </row>
    <row r="85" spans="1:31" ht="15">
      <c r="A85" s="140">
        <v>10949</v>
      </c>
      <c r="B85" s="221">
        <v>19</v>
      </c>
      <c r="C85" s="221"/>
      <c r="D85" s="187" t="s">
        <v>244</v>
      </c>
      <c r="E85" s="187"/>
      <c r="F85" s="140">
        <v>1</v>
      </c>
      <c r="G85" s="140" t="s">
        <v>407</v>
      </c>
      <c r="H85" s="142">
        <v>0</v>
      </c>
      <c r="I85" s="143">
        <v>0</v>
      </c>
      <c r="J85" s="143">
        <f t="shared" si="33"/>
        <v>0</v>
      </c>
      <c r="K85" s="142">
        <v>0</v>
      </c>
      <c r="L85" s="142">
        <v>5</v>
      </c>
      <c r="M85" s="142">
        <v>0</v>
      </c>
      <c r="N85" s="140">
        <v>19.5</v>
      </c>
      <c r="O85" s="159">
        <f t="shared" si="34"/>
        <v>0</v>
      </c>
      <c r="P85" s="140">
        <v>0</v>
      </c>
      <c r="Q85" s="151">
        <f t="shared" si="35"/>
        <v>0</v>
      </c>
      <c r="R85" s="140">
        <v>0</v>
      </c>
      <c r="S85" s="151">
        <f t="shared" si="36"/>
        <v>0</v>
      </c>
      <c r="T85" s="140">
        <v>0</v>
      </c>
      <c r="U85" s="146">
        <f t="shared" si="37"/>
        <v>0</v>
      </c>
      <c r="V85" s="140">
        <v>0</v>
      </c>
      <c r="W85" s="146">
        <f t="shared" si="38"/>
        <v>0</v>
      </c>
      <c r="X85" s="146"/>
      <c r="Y85" s="206">
        <f t="shared" si="39"/>
        <v>0</v>
      </c>
      <c r="Z85" s="206">
        <f t="shared" si="40"/>
        <v>0</v>
      </c>
      <c r="AA85" s="149">
        <f t="shared" si="41"/>
        <v>0</v>
      </c>
      <c r="AD85" s="149" t="e">
        <f t="shared" si="42"/>
        <v>#DIV/0!</v>
      </c>
      <c r="AE85" s="150">
        <f t="shared" si="43"/>
        <v>0</v>
      </c>
    </row>
    <row r="86" spans="1:31" ht="15">
      <c r="A86" s="140">
        <v>10949</v>
      </c>
      <c r="B86" s="225">
        <v>20</v>
      </c>
      <c r="C86" s="225"/>
      <c r="D86" s="187" t="s">
        <v>245</v>
      </c>
      <c r="E86" s="187"/>
      <c r="F86" s="140">
        <v>1</v>
      </c>
      <c r="G86" s="140" t="s">
        <v>407</v>
      </c>
      <c r="H86" s="142">
        <v>0</v>
      </c>
      <c r="I86" s="143">
        <v>0</v>
      </c>
      <c r="J86" s="143">
        <f t="shared" si="33"/>
        <v>0</v>
      </c>
      <c r="K86" s="142">
        <v>0</v>
      </c>
      <c r="L86" s="142">
        <v>19</v>
      </c>
      <c r="M86" s="142">
        <v>0</v>
      </c>
      <c r="N86" s="140">
        <v>19.5</v>
      </c>
      <c r="O86" s="159">
        <f t="shared" si="34"/>
        <v>0</v>
      </c>
      <c r="P86" s="140">
        <v>0</v>
      </c>
      <c r="Q86" s="151">
        <f t="shared" si="35"/>
        <v>0</v>
      </c>
      <c r="R86" s="140">
        <v>0</v>
      </c>
      <c r="S86" s="151">
        <f t="shared" si="36"/>
        <v>0</v>
      </c>
      <c r="T86" s="140">
        <v>0</v>
      </c>
      <c r="U86" s="146">
        <f t="shared" si="37"/>
        <v>0</v>
      </c>
      <c r="V86" s="140">
        <v>0</v>
      </c>
      <c r="W86" s="146">
        <f t="shared" si="38"/>
        <v>0</v>
      </c>
      <c r="X86" s="146"/>
      <c r="Y86" s="206">
        <f t="shared" si="39"/>
        <v>0</v>
      </c>
      <c r="Z86" s="206">
        <f t="shared" si="40"/>
        <v>0</v>
      </c>
      <c r="AA86" s="149">
        <f t="shared" si="41"/>
        <v>0</v>
      </c>
      <c r="AD86" s="149" t="e">
        <f t="shared" si="42"/>
        <v>#DIV/0!</v>
      </c>
      <c r="AE86" s="150">
        <f t="shared" si="43"/>
        <v>0</v>
      </c>
    </row>
    <row r="87" spans="1:31" ht="15">
      <c r="A87" s="140">
        <v>10949</v>
      </c>
      <c r="B87" s="221">
        <v>21</v>
      </c>
      <c r="C87" s="221"/>
      <c r="D87" s="187" t="s">
        <v>246</v>
      </c>
      <c r="E87" s="187"/>
      <c r="F87" s="140">
        <v>1</v>
      </c>
      <c r="G87" s="140" t="s">
        <v>407</v>
      </c>
      <c r="H87" s="142">
        <v>0</v>
      </c>
      <c r="I87" s="143">
        <v>0</v>
      </c>
      <c r="J87" s="143">
        <f t="shared" si="33"/>
        <v>0</v>
      </c>
      <c r="K87" s="142">
        <v>0</v>
      </c>
      <c r="L87" s="142">
        <v>43</v>
      </c>
      <c r="M87" s="142">
        <v>0</v>
      </c>
      <c r="N87" s="140">
        <v>19.5</v>
      </c>
      <c r="O87" s="159">
        <f t="shared" si="34"/>
        <v>0</v>
      </c>
      <c r="P87" s="140">
        <v>0</v>
      </c>
      <c r="Q87" s="151">
        <f t="shared" si="35"/>
        <v>0</v>
      </c>
      <c r="R87" s="140">
        <v>0</v>
      </c>
      <c r="S87" s="151">
        <f t="shared" si="36"/>
        <v>0</v>
      </c>
      <c r="T87" s="140">
        <v>0</v>
      </c>
      <c r="U87" s="146">
        <f t="shared" si="37"/>
        <v>0</v>
      </c>
      <c r="V87" s="140">
        <v>0</v>
      </c>
      <c r="W87" s="146">
        <f t="shared" si="38"/>
        <v>0</v>
      </c>
      <c r="X87" s="146"/>
      <c r="Y87" s="206">
        <f t="shared" si="39"/>
        <v>0</v>
      </c>
      <c r="Z87" s="206">
        <f t="shared" si="40"/>
        <v>0</v>
      </c>
      <c r="AA87" s="149">
        <f t="shared" si="41"/>
        <v>0</v>
      </c>
      <c r="AD87" s="149" t="e">
        <f t="shared" si="42"/>
        <v>#DIV/0!</v>
      </c>
      <c r="AE87" s="150">
        <f t="shared" si="43"/>
        <v>0</v>
      </c>
    </row>
    <row r="88" spans="1:31" ht="15">
      <c r="A88" s="140">
        <v>10949</v>
      </c>
      <c r="B88" s="221">
        <v>22</v>
      </c>
      <c r="C88" s="221"/>
      <c r="D88" s="187" t="s">
        <v>247</v>
      </c>
      <c r="E88" s="187"/>
      <c r="F88" s="140">
        <v>1</v>
      </c>
      <c r="G88" s="140" t="s">
        <v>407</v>
      </c>
      <c r="H88" s="142">
        <v>0</v>
      </c>
      <c r="I88" s="143">
        <v>0</v>
      </c>
      <c r="J88" s="143">
        <f t="shared" si="33"/>
        <v>0</v>
      </c>
      <c r="K88" s="142">
        <v>0</v>
      </c>
      <c r="L88" s="271">
        <v>0</v>
      </c>
      <c r="M88" s="142">
        <f>K88-L88</f>
        <v>0</v>
      </c>
      <c r="N88" s="140">
        <v>19.5</v>
      </c>
      <c r="O88" s="159">
        <f t="shared" si="34"/>
        <v>0</v>
      </c>
      <c r="P88" s="140">
        <v>0</v>
      </c>
      <c r="Q88" s="151">
        <f t="shared" si="35"/>
        <v>0</v>
      </c>
      <c r="R88" s="142">
        <v>0</v>
      </c>
      <c r="S88" s="151">
        <f t="shared" si="36"/>
        <v>0</v>
      </c>
      <c r="T88" s="140">
        <v>0</v>
      </c>
      <c r="U88" s="146">
        <f t="shared" si="37"/>
        <v>0</v>
      </c>
      <c r="V88" s="140">
        <v>0</v>
      </c>
      <c r="W88" s="146">
        <f t="shared" si="38"/>
        <v>0</v>
      </c>
      <c r="X88" s="146"/>
      <c r="Y88" s="206">
        <f t="shared" si="39"/>
        <v>0</v>
      </c>
      <c r="Z88" s="206">
        <f t="shared" si="40"/>
        <v>0</v>
      </c>
      <c r="AA88" s="149">
        <f t="shared" si="41"/>
        <v>0</v>
      </c>
      <c r="AD88" s="149" t="e">
        <f t="shared" si="42"/>
        <v>#DIV/0!</v>
      </c>
      <c r="AE88" s="150">
        <f t="shared" si="43"/>
        <v>0</v>
      </c>
    </row>
    <row r="89" spans="1:31" ht="15">
      <c r="A89" s="140">
        <v>10949</v>
      </c>
      <c r="B89" s="225">
        <v>23</v>
      </c>
      <c r="C89" s="225"/>
      <c r="D89" s="187" t="s">
        <v>248</v>
      </c>
      <c r="E89" s="187"/>
      <c r="F89" s="140">
        <v>1</v>
      </c>
      <c r="G89" s="140" t="s">
        <v>407</v>
      </c>
      <c r="H89" s="142">
        <v>0</v>
      </c>
      <c r="I89" s="143">
        <v>0</v>
      </c>
      <c r="J89" s="143">
        <f t="shared" si="33"/>
        <v>0</v>
      </c>
      <c r="K89" s="142">
        <v>0</v>
      </c>
      <c r="L89" s="271">
        <v>0</v>
      </c>
      <c r="M89" s="142">
        <f>K89-L89</f>
        <v>0</v>
      </c>
      <c r="N89" s="140">
        <v>19.5</v>
      </c>
      <c r="O89" s="159">
        <f t="shared" si="34"/>
        <v>0</v>
      </c>
      <c r="P89" s="140">
        <v>0</v>
      </c>
      <c r="Q89" s="151">
        <f t="shared" si="35"/>
        <v>0</v>
      </c>
      <c r="R89" s="142">
        <v>0</v>
      </c>
      <c r="S89" s="151">
        <f t="shared" si="36"/>
        <v>0</v>
      </c>
      <c r="T89" s="140">
        <v>0</v>
      </c>
      <c r="U89" s="146">
        <f t="shared" si="37"/>
        <v>0</v>
      </c>
      <c r="V89" s="140">
        <v>0</v>
      </c>
      <c r="W89" s="146">
        <f t="shared" si="38"/>
        <v>0</v>
      </c>
      <c r="X89" s="146"/>
      <c r="Y89" s="206">
        <f t="shared" si="39"/>
        <v>0</v>
      </c>
      <c r="Z89" s="206">
        <f t="shared" si="40"/>
        <v>0</v>
      </c>
      <c r="AA89" s="149">
        <f t="shared" si="41"/>
        <v>0</v>
      </c>
      <c r="AD89" s="149" t="e">
        <f t="shared" si="42"/>
        <v>#DIV/0!</v>
      </c>
      <c r="AE89" s="150">
        <f t="shared" si="43"/>
        <v>0</v>
      </c>
    </row>
    <row r="90" spans="1:31" ht="15">
      <c r="A90" s="140">
        <v>10949</v>
      </c>
      <c r="B90" s="221">
        <v>24</v>
      </c>
      <c r="C90" s="221"/>
      <c r="D90" s="187" t="s">
        <v>249</v>
      </c>
      <c r="E90" s="187"/>
      <c r="F90" s="140">
        <v>1</v>
      </c>
      <c r="G90" s="140" t="s">
        <v>407</v>
      </c>
      <c r="H90" s="142">
        <v>19</v>
      </c>
      <c r="I90" s="143">
        <v>0</v>
      </c>
      <c r="J90" s="143">
        <f t="shared" si="33"/>
        <v>0</v>
      </c>
      <c r="K90" s="142">
        <v>0</v>
      </c>
      <c r="L90" s="271">
        <v>0</v>
      </c>
      <c r="M90" s="142">
        <f>K90-L90</f>
        <v>0</v>
      </c>
      <c r="N90" s="140">
        <v>22.5</v>
      </c>
      <c r="O90" s="159">
        <f t="shared" si="34"/>
        <v>0</v>
      </c>
      <c r="P90" s="140">
        <v>0</v>
      </c>
      <c r="Q90" s="151">
        <f t="shared" si="35"/>
        <v>0</v>
      </c>
      <c r="R90" s="142">
        <v>0</v>
      </c>
      <c r="S90" s="151">
        <f t="shared" si="36"/>
        <v>0</v>
      </c>
      <c r="T90" s="140">
        <v>0</v>
      </c>
      <c r="U90" s="146">
        <f t="shared" si="37"/>
        <v>0</v>
      </c>
      <c r="V90" s="140">
        <v>0</v>
      </c>
      <c r="W90" s="146">
        <f t="shared" si="38"/>
        <v>0</v>
      </c>
      <c r="X90" s="146"/>
      <c r="Y90" s="206">
        <f t="shared" si="39"/>
        <v>0</v>
      </c>
      <c r="Z90" s="206">
        <f t="shared" si="40"/>
        <v>0</v>
      </c>
      <c r="AA90" s="149">
        <f t="shared" si="41"/>
        <v>0</v>
      </c>
      <c r="AD90" s="149" t="e">
        <f t="shared" si="42"/>
        <v>#DIV/0!</v>
      </c>
      <c r="AE90" s="150">
        <f t="shared" si="43"/>
        <v>0</v>
      </c>
    </row>
    <row r="91" spans="1:31" ht="15">
      <c r="A91" s="140">
        <v>10949</v>
      </c>
      <c r="B91" s="221">
        <v>25</v>
      </c>
      <c r="C91" s="221"/>
      <c r="D91" s="187" t="s">
        <v>250</v>
      </c>
      <c r="E91" s="187"/>
      <c r="F91" s="140">
        <v>1</v>
      </c>
      <c r="G91" s="140" t="s">
        <v>407</v>
      </c>
      <c r="H91" s="142">
        <v>0</v>
      </c>
      <c r="I91" s="143">
        <v>0</v>
      </c>
      <c r="J91" s="143">
        <f t="shared" si="33"/>
        <v>0</v>
      </c>
      <c r="K91" s="142">
        <v>0</v>
      </c>
      <c r="L91" s="271">
        <v>0</v>
      </c>
      <c r="M91" s="142">
        <f>K91-L91</f>
        <v>0</v>
      </c>
      <c r="N91" s="140">
        <v>19.2</v>
      </c>
      <c r="O91" s="159">
        <f t="shared" si="34"/>
        <v>0</v>
      </c>
      <c r="P91" s="140">
        <v>0</v>
      </c>
      <c r="Q91" s="151">
        <f t="shared" si="35"/>
        <v>0</v>
      </c>
      <c r="R91" s="142">
        <v>0</v>
      </c>
      <c r="S91" s="151">
        <f t="shared" si="36"/>
        <v>0</v>
      </c>
      <c r="T91" s="140">
        <v>0</v>
      </c>
      <c r="U91" s="146">
        <f t="shared" si="37"/>
        <v>0</v>
      </c>
      <c r="V91" s="140">
        <v>0</v>
      </c>
      <c r="W91" s="146">
        <f t="shared" si="38"/>
        <v>0</v>
      </c>
      <c r="X91" s="146"/>
      <c r="Y91" s="206">
        <f t="shared" si="39"/>
        <v>0</v>
      </c>
      <c r="Z91" s="206">
        <f t="shared" si="40"/>
        <v>0</v>
      </c>
      <c r="AA91" s="149">
        <f t="shared" si="41"/>
        <v>0</v>
      </c>
      <c r="AD91" s="149" t="e">
        <f t="shared" si="42"/>
        <v>#DIV/0!</v>
      </c>
      <c r="AE91" s="150">
        <f t="shared" si="43"/>
        <v>0</v>
      </c>
    </row>
    <row r="92" spans="1:31" ht="15">
      <c r="A92" s="140">
        <v>10949</v>
      </c>
      <c r="B92" s="221">
        <v>27</v>
      </c>
      <c r="C92" s="221"/>
      <c r="D92" s="187" t="s">
        <v>252</v>
      </c>
      <c r="E92" s="187"/>
      <c r="F92" s="140">
        <v>1</v>
      </c>
      <c r="G92" s="140" t="s">
        <v>411</v>
      </c>
      <c r="H92" s="142">
        <v>1</v>
      </c>
      <c r="I92" s="143">
        <v>0</v>
      </c>
      <c r="J92" s="143">
        <f t="shared" si="33"/>
        <v>0</v>
      </c>
      <c r="K92" s="142">
        <v>0</v>
      </c>
      <c r="L92" s="140">
        <v>1</v>
      </c>
      <c r="M92" s="142">
        <v>0</v>
      </c>
      <c r="N92" s="140">
        <v>170</v>
      </c>
      <c r="O92" s="159">
        <f t="shared" si="34"/>
        <v>0</v>
      </c>
      <c r="P92" s="140">
        <v>0</v>
      </c>
      <c r="Q92" s="151">
        <f t="shared" si="35"/>
        <v>0</v>
      </c>
      <c r="R92" s="142">
        <v>0</v>
      </c>
      <c r="S92" s="151">
        <f t="shared" si="36"/>
        <v>0</v>
      </c>
      <c r="T92" s="140">
        <v>0</v>
      </c>
      <c r="U92" s="146">
        <f t="shared" si="37"/>
        <v>0</v>
      </c>
      <c r="V92" s="140">
        <v>0</v>
      </c>
      <c r="W92" s="146">
        <f t="shared" si="38"/>
        <v>0</v>
      </c>
      <c r="X92" s="146"/>
      <c r="Y92" s="206">
        <f t="shared" si="39"/>
        <v>0</v>
      </c>
      <c r="Z92" s="206">
        <f t="shared" si="40"/>
        <v>0</v>
      </c>
      <c r="AA92" s="149">
        <f t="shared" si="41"/>
        <v>0</v>
      </c>
      <c r="AD92" s="149" t="e">
        <f t="shared" si="42"/>
        <v>#DIV/0!</v>
      </c>
      <c r="AE92" s="150">
        <f t="shared" si="43"/>
        <v>0</v>
      </c>
    </row>
    <row r="93" spans="1:31" ht="15">
      <c r="A93" s="140">
        <v>10949</v>
      </c>
      <c r="B93" s="221">
        <v>43</v>
      </c>
      <c r="C93" s="221"/>
      <c r="D93" s="187" t="s">
        <v>268</v>
      </c>
      <c r="E93" s="187"/>
      <c r="F93" s="140">
        <v>1</v>
      </c>
      <c r="G93" s="140" t="s">
        <v>552</v>
      </c>
      <c r="H93" s="142">
        <v>0</v>
      </c>
      <c r="I93" s="143">
        <v>0</v>
      </c>
      <c r="J93" s="143">
        <f t="shared" si="33"/>
        <v>0</v>
      </c>
      <c r="K93" s="142">
        <v>0</v>
      </c>
      <c r="L93" s="140">
        <v>0</v>
      </c>
      <c r="M93" s="142">
        <f>K93-L93</f>
        <v>0</v>
      </c>
      <c r="N93" s="140">
        <v>200</v>
      </c>
      <c r="O93" s="159">
        <f t="shared" si="34"/>
        <v>0</v>
      </c>
      <c r="P93" s="140">
        <v>0</v>
      </c>
      <c r="Q93" s="151">
        <f t="shared" si="35"/>
        <v>0</v>
      </c>
      <c r="R93" s="140">
        <v>0</v>
      </c>
      <c r="S93" s="151">
        <f t="shared" si="36"/>
        <v>0</v>
      </c>
      <c r="T93" s="140">
        <v>0</v>
      </c>
      <c r="U93" s="146">
        <f t="shared" si="37"/>
        <v>0</v>
      </c>
      <c r="V93" s="140">
        <v>0</v>
      </c>
      <c r="W93" s="146">
        <f t="shared" si="38"/>
        <v>0</v>
      </c>
      <c r="X93" s="146"/>
      <c r="Y93" s="206">
        <f t="shared" si="39"/>
        <v>0</v>
      </c>
      <c r="Z93" s="206">
        <f t="shared" si="40"/>
        <v>0</v>
      </c>
      <c r="AA93" s="149">
        <f t="shared" si="41"/>
        <v>0</v>
      </c>
      <c r="AD93" s="149" t="e">
        <f t="shared" si="42"/>
        <v>#DIV/0!</v>
      </c>
      <c r="AE93" s="150">
        <f t="shared" si="43"/>
        <v>0</v>
      </c>
    </row>
    <row r="94" spans="1:31" ht="15">
      <c r="A94" s="140">
        <v>10949</v>
      </c>
      <c r="B94" s="225">
        <v>44</v>
      </c>
      <c r="C94" s="225"/>
      <c r="D94" s="187" t="s">
        <v>269</v>
      </c>
      <c r="E94" s="187"/>
      <c r="F94" s="140">
        <v>1</v>
      </c>
      <c r="G94" s="140" t="s">
        <v>552</v>
      </c>
      <c r="H94" s="142">
        <v>0</v>
      </c>
      <c r="I94" s="143">
        <v>0</v>
      </c>
      <c r="J94" s="143">
        <f t="shared" si="33"/>
        <v>800</v>
      </c>
      <c r="K94" s="142">
        <v>800</v>
      </c>
      <c r="L94" s="140">
        <v>0</v>
      </c>
      <c r="M94" s="142">
        <v>0</v>
      </c>
      <c r="N94" s="140">
        <v>200</v>
      </c>
      <c r="O94" s="159">
        <f t="shared" si="34"/>
        <v>0</v>
      </c>
      <c r="P94" s="140">
        <v>0</v>
      </c>
      <c r="Q94" s="151">
        <f t="shared" si="35"/>
        <v>0</v>
      </c>
      <c r="R94" s="140">
        <v>0</v>
      </c>
      <c r="S94" s="151">
        <f t="shared" si="36"/>
        <v>0</v>
      </c>
      <c r="T94" s="140">
        <v>0</v>
      </c>
      <c r="U94" s="146">
        <f t="shared" si="37"/>
        <v>0</v>
      </c>
      <c r="V94" s="140">
        <v>0</v>
      </c>
      <c r="W94" s="146">
        <f t="shared" si="38"/>
        <v>0</v>
      </c>
      <c r="X94" s="146"/>
      <c r="Y94" s="206">
        <f t="shared" si="39"/>
        <v>0</v>
      </c>
      <c r="Z94" s="206">
        <f t="shared" si="40"/>
        <v>0</v>
      </c>
      <c r="AA94" s="149">
        <f t="shared" si="41"/>
        <v>0</v>
      </c>
      <c r="AB94" s="149">
        <v>600</v>
      </c>
      <c r="AC94" s="149">
        <v>10800</v>
      </c>
      <c r="AD94" s="149">
        <f t="shared" si="42"/>
        <v>18</v>
      </c>
      <c r="AE94" s="150">
        <f t="shared" si="43"/>
        <v>800</v>
      </c>
    </row>
    <row r="95" spans="1:31" ht="15">
      <c r="A95" s="140">
        <v>10949</v>
      </c>
      <c r="B95" s="221">
        <v>45</v>
      </c>
      <c r="C95" s="221"/>
      <c r="D95" s="187" t="s">
        <v>270</v>
      </c>
      <c r="E95" s="187"/>
      <c r="F95" s="140">
        <v>1</v>
      </c>
      <c r="G95" s="140" t="s">
        <v>409</v>
      </c>
      <c r="H95" s="142">
        <v>0</v>
      </c>
      <c r="I95" s="143">
        <v>0</v>
      </c>
      <c r="J95" s="143">
        <f t="shared" si="33"/>
        <v>0</v>
      </c>
      <c r="K95" s="142">
        <v>0</v>
      </c>
      <c r="L95" s="140">
        <v>0</v>
      </c>
      <c r="M95" s="142">
        <f>K95-L95</f>
        <v>0</v>
      </c>
      <c r="N95" s="140">
        <v>45</v>
      </c>
      <c r="O95" s="159">
        <f t="shared" si="34"/>
        <v>0</v>
      </c>
      <c r="P95" s="140">
        <v>0</v>
      </c>
      <c r="Q95" s="151">
        <f t="shared" si="35"/>
        <v>0</v>
      </c>
      <c r="R95" s="140">
        <v>0</v>
      </c>
      <c r="S95" s="151">
        <f t="shared" si="36"/>
        <v>0</v>
      </c>
      <c r="T95" s="140">
        <v>0</v>
      </c>
      <c r="U95" s="146">
        <f t="shared" si="37"/>
        <v>0</v>
      </c>
      <c r="V95" s="140">
        <v>0</v>
      </c>
      <c r="W95" s="146">
        <f t="shared" si="38"/>
        <v>0</v>
      </c>
      <c r="X95" s="146"/>
      <c r="Y95" s="206">
        <f t="shared" si="39"/>
        <v>0</v>
      </c>
      <c r="Z95" s="206">
        <f t="shared" si="40"/>
        <v>0</v>
      </c>
      <c r="AA95" s="149">
        <f t="shared" si="41"/>
        <v>0</v>
      </c>
      <c r="AD95" s="149" t="e">
        <f t="shared" si="42"/>
        <v>#DIV/0!</v>
      </c>
      <c r="AE95" s="150">
        <f t="shared" si="43"/>
        <v>0</v>
      </c>
    </row>
    <row r="96" spans="1:31" ht="15">
      <c r="A96" s="140">
        <v>10949</v>
      </c>
      <c r="B96" s="221">
        <v>46</v>
      </c>
      <c r="C96" s="221"/>
      <c r="D96" s="187" t="s">
        <v>271</v>
      </c>
      <c r="E96" s="187"/>
      <c r="F96" s="140">
        <v>1</v>
      </c>
      <c r="G96" s="140" t="s">
        <v>409</v>
      </c>
      <c r="H96" s="142">
        <v>24</v>
      </c>
      <c r="I96" s="143">
        <v>0</v>
      </c>
      <c r="J96" s="143">
        <f t="shared" si="33"/>
        <v>0</v>
      </c>
      <c r="K96" s="142">
        <v>0</v>
      </c>
      <c r="L96" s="140">
        <v>7</v>
      </c>
      <c r="M96" s="142">
        <v>0</v>
      </c>
      <c r="N96" s="140">
        <v>26</v>
      </c>
      <c r="O96" s="159">
        <f t="shared" si="34"/>
        <v>0</v>
      </c>
      <c r="P96" s="140">
        <v>0</v>
      </c>
      <c r="Q96" s="151">
        <f t="shared" si="35"/>
        <v>0</v>
      </c>
      <c r="R96" s="142">
        <v>0</v>
      </c>
      <c r="S96" s="151">
        <f t="shared" si="36"/>
        <v>0</v>
      </c>
      <c r="T96" s="140">
        <v>0</v>
      </c>
      <c r="U96" s="146">
        <f t="shared" si="37"/>
        <v>0</v>
      </c>
      <c r="V96" s="140">
        <v>0</v>
      </c>
      <c r="W96" s="146">
        <f t="shared" si="38"/>
        <v>0</v>
      </c>
      <c r="X96" s="146"/>
      <c r="Y96" s="206">
        <f t="shared" si="39"/>
        <v>0</v>
      </c>
      <c r="Z96" s="206">
        <f t="shared" si="40"/>
        <v>0</v>
      </c>
      <c r="AA96" s="149">
        <f t="shared" si="41"/>
        <v>0</v>
      </c>
      <c r="AD96" s="149" t="e">
        <f t="shared" si="42"/>
        <v>#DIV/0!</v>
      </c>
      <c r="AE96" s="150">
        <f t="shared" si="43"/>
        <v>0</v>
      </c>
    </row>
    <row r="97" spans="1:31" ht="15">
      <c r="A97" s="140">
        <v>10949</v>
      </c>
      <c r="B97" s="225">
        <v>47</v>
      </c>
      <c r="C97" s="225"/>
      <c r="D97" s="187" t="s">
        <v>272</v>
      </c>
      <c r="E97" s="187"/>
      <c r="F97" s="140">
        <v>1</v>
      </c>
      <c r="G97" s="140" t="s">
        <v>407</v>
      </c>
      <c r="H97" s="142">
        <v>0</v>
      </c>
      <c r="I97" s="143">
        <v>0</v>
      </c>
      <c r="J97" s="143">
        <f t="shared" si="33"/>
        <v>0</v>
      </c>
      <c r="K97" s="142">
        <v>0</v>
      </c>
      <c r="L97" s="140">
        <v>0</v>
      </c>
      <c r="M97" s="142">
        <f>K97-L97</f>
        <v>0</v>
      </c>
      <c r="N97" s="140">
        <v>25</v>
      </c>
      <c r="O97" s="159">
        <f t="shared" si="34"/>
        <v>0</v>
      </c>
      <c r="P97" s="140">
        <v>0</v>
      </c>
      <c r="Q97" s="151">
        <f t="shared" si="35"/>
        <v>0</v>
      </c>
      <c r="R97" s="140">
        <v>0</v>
      </c>
      <c r="S97" s="151">
        <f t="shared" si="36"/>
        <v>0</v>
      </c>
      <c r="T97" s="140">
        <v>0</v>
      </c>
      <c r="U97" s="146">
        <f t="shared" si="37"/>
        <v>0</v>
      </c>
      <c r="V97" s="140">
        <v>0</v>
      </c>
      <c r="W97" s="146">
        <f t="shared" si="38"/>
        <v>0</v>
      </c>
      <c r="X97" s="146"/>
      <c r="Y97" s="206">
        <f t="shared" si="39"/>
        <v>0</v>
      </c>
      <c r="Z97" s="206">
        <f t="shared" si="40"/>
        <v>0</v>
      </c>
      <c r="AA97" s="149">
        <f t="shared" si="41"/>
        <v>0</v>
      </c>
      <c r="AD97" s="149" t="e">
        <f t="shared" si="42"/>
        <v>#DIV/0!</v>
      </c>
      <c r="AE97" s="150">
        <f t="shared" si="43"/>
        <v>0</v>
      </c>
    </row>
    <row r="98" spans="1:31" ht="15">
      <c r="A98" s="140">
        <v>10949</v>
      </c>
      <c r="B98" s="221">
        <v>48</v>
      </c>
      <c r="C98" s="221"/>
      <c r="D98" s="187" t="s">
        <v>273</v>
      </c>
      <c r="E98" s="187"/>
      <c r="F98" s="140">
        <v>1</v>
      </c>
      <c r="G98" s="140" t="s">
        <v>407</v>
      </c>
      <c r="H98" s="142">
        <v>0</v>
      </c>
      <c r="I98" s="143">
        <v>0</v>
      </c>
      <c r="J98" s="143">
        <f t="shared" si="33"/>
        <v>0</v>
      </c>
      <c r="K98" s="142">
        <v>0</v>
      </c>
      <c r="L98" s="140">
        <v>216</v>
      </c>
      <c r="M98" s="142">
        <v>0</v>
      </c>
      <c r="N98" s="140">
        <v>25</v>
      </c>
      <c r="O98" s="159">
        <f t="shared" si="34"/>
        <v>0</v>
      </c>
      <c r="P98" s="140">
        <v>0</v>
      </c>
      <c r="Q98" s="151">
        <f t="shared" si="35"/>
        <v>0</v>
      </c>
      <c r="R98" s="140">
        <v>0</v>
      </c>
      <c r="S98" s="151">
        <f t="shared" si="36"/>
        <v>0</v>
      </c>
      <c r="T98" s="140">
        <v>0</v>
      </c>
      <c r="U98" s="146">
        <f t="shared" si="37"/>
        <v>0</v>
      </c>
      <c r="V98" s="140">
        <v>0</v>
      </c>
      <c r="W98" s="146">
        <f t="shared" si="38"/>
        <v>0</v>
      </c>
      <c r="X98" s="146"/>
      <c r="Y98" s="206">
        <f t="shared" si="39"/>
        <v>0</v>
      </c>
      <c r="Z98" s="206">
        <f t="shared" si="40"/>
        <v>0</v>
      </c>
      <c r="AA98" s="149">
        <f t="shared" si="41"/>
        <v>0</v>
      </c>
      <c r="AD98" s="149" t="e">
        <f t="shared" si="42"/>
        <v>#DIV/0!</v>
      </c>
      <c r="AE98" s="150">
        <f t="shared" si="43"/>
        <v>0</v>
      </c>
    </row>
    <row r="99" spans="1:31" ht="15">
      <c r="A99" s="140">
        <v>10949</v>
      </c>
      <c r="B99" s="221">
        <v>49</v>
      </c>
      <c r="C99" s="221"/>
      <c r="D99" s="187" t="s">
        <v>274</v>
      </c>
      <c r="E99" s="187"/>
      <c r="F99" s="140">
        <v>1</v>
      </c>
      <c r="G99" s="140" t="s">
        <v>407</v>
      </c>
      <c r="H99" s="142">
        <v>0</v>
      </c>
      <c r="I99" s="143">
        <v>0</v>
      </c>
      <c r="J99" s="143">
        <f t="shared" si="33"/>
        <v>0</v>
      </c>
      <c r="K99" s="142">
        <v>0</v>
      </c>
      <c r="L99" s="140">
        <v>7</v>
      </c>
      <c r="M99" s="142">
        <v>0</v>
      </c>
      <c r="N99" s="140">
        <v>25</v>
      </c>
      <c r="O99" s="159">
        <f t="shared" si="34"/>
        <v>0</v>
      </c>
      <c r="P99" s="140">
        <v>0</v>
      </c>
      <c r="Q99" s="151">
        <f t="shared" si="35"/>
        <v>0</v>
      </c>
      <c r="R99" s="140">
        <v>0</v>
      </c>
      <c r="S99" s="151">
        <f t="shared" si="36"/>
        <v>0</v>
      </c>
      <c r="T99" s="140">
        <v>0</v>
      </c>
      <c r="U99" s="146">
        <f t="shared" si="37"/>
        <v>0</v>
      </c>
      <c r="V99" s="140">
        <v>0</v>
      </c>
      <c r="W99" s="146">
        <f t="shared" si="38"/>
        <v>0</v>
      </c>
      <c r="X99" s="146"/>
      <c r="Y99" s="206">
        <f t="shared" si="39"/>
        <v>0</v>
      </c>
      <c r="Z99" s="206">
        <f t="shared" si="40"/>
        <v>0</v>
      </c>
      <c r="AA99" s="149">
        <f t="shared" si="41"/>
        <v>0</v>
      </c>
      <c r="AD99" s="149" t="e">
        <f t="shared" si="42"/>
        <v>#DIV/0!</v>
      </c>
      <c r="AE99" s="150">
        <f t="shared" si="43"/>
        <v>0</v>
      </c>
    </row>
    <row r="100" spans="1:31" ht="15">
      <c r="A100" s="140">
        <v>10949</v>
      </c>
      <c r="B100" s="225">
        <v>50</v>
      </c>
      <c r="C100" s="225"/>
      <c r="D100" s="187" t="s">
        <v>275</v>
      </c>
      <c r="E100" s="187"/>
      <c r="F100" s="140">
        <v>1</v>
      </c>
      <c r="G100" s="140" t="s">
        <v>407</v>
      </c>
      <c r="H100" s="142">
        <v>0</v>
      </c>
      <c r="I100" s="143">
        <v>0</v>
      </c>
      <c r="J100" s="143">
        <f t="shared" si="33"/>
        <v>0</v>
      </c>
      <c r="K100" s="142">
        <v>0</v>
      </c>
      <c r="L100" s="140">
        <v>0</v>
      </c>
      <c r="M100" s="142">
        <f>K100-L100</f>
        <v>0</v>
      </c>
      <c r="N100" s="140">
        <v>25</v>
      </c>
      <c r="O100" s="159">
        <f t="shared" si="34"/>
        <v>0</v>
      </c>
      <c r="P100" s="140">
        <v>0</v>
      </c>
      <c r="Q100" s="151">
        <f t="shared" si="35"/>
        <v>0</v>
      </c>
      <c r="R100" s="140">
        <v>0</v>
      </c>
      <c r="S100" s="151">
        <f t="shared" si="36"/>
        <v>0</v>
      </c>
      <c r="T100" s="140">
        <v>0</v>
      </c>
      <c r="U100" s="146">
        <f t="shared" si="37"/>
        <v>0</v>
      </c>
      <c r="V100" s="140">
        <v>0</v>
      </c>
      <c r="W100" s="146">
        <f t="shared" si="38"/>
        <v>0</v>
      </c>
      <c r="X100" s="146"/>
      <c r="Y100" s="206">
        <f t="shared" si="39"/>
        <v>0</v>
      </c>
      <c r="Z100" s="206">
        <f t="shared" si="40"/>
        <v>0</v>
      </c>
      <c r="AA100" s="149">
        <f t="shared" si="41"/>
        <v>0</v>
      </c>
      <c r="AD100" s="149" t="e">
        <f t="shared" si="42"/>
        <v>#DIV/0!</v>
      </c>
      <c r="AE100" s="150">
        <f t="shared" si="43"/>
        <v>0</v>
      </c>
    </row>
    <row r="101" spans="1:31" ht="15">
      <c r="A101" s="140">
        <v>10949</v>
      </c>
      <c r="B101" s="221">
        <v>51</v>
      </c>
      <c r="C101" s="221"/>
      <c r="D101" s="187" t="s">
        <v>276</v>
      </c>
      <c r="E101" s="187"/>
      <c r="F101" s="140">
        <v>1</v>
      </c>
      <c r="G101" s="140" t="s">
        <v>407</v>
      </c>
      <c r="H101" s="142">
        <v>0</v>
      </c>
      <c r="I101" s="143">
        <v>0</v>
      </c>
      <c r="J101" s="143">
        <f t="shared" si="33"/>
        <v>0</v>
      </c>
      <c r="K101" s="142">
        <v>0</v>
      </c>
      <c r="L101" s="140">
        <v>57</v>
      </c>
      <c r="M101" s="142">
        <v>0</v>
      </c>
      <c r="N101" s="140">
        <v>25</v>
      </c>
      <c r="O101" s="159">
        <f t="shared" si="34"/>
        <v>0</v>
      </c>
      <c r="P101" s="140">
        <v>0</v>
      </c>
      <c r="Q101" s="151">
        <f t="shared" si="35"/>
        <v>0</v>
      </c>
      <c r="R101" s="140">
        <v>0</v>
      </c>
      <c r="S101" s="151">
        <f t="shared" si="36"/>
        <v>0</v>
      </c>
      <c r="T101" s="140">
        <v>0</v>
      </c>
      <c r="U101" s="146">
        <f t="shared" si="37"/>
        <v>0</v>
      </c>
      <c r="V101" s="140">
        <v>0</v>
      </c>
      <c r="W101" s="146">
        <f t="shared" si="38"/>
        <v>0</v>
      </c>
      <c r="X101" s="146"/>
      <c r="Y101" s="206">
        <f t="shared" si="39"/>
        <v>0</v>
      </c>
      <c r="Z101" s="206">
        <f t="shared" si="40"/>
        <v>0</v>
      </c>
      <c r="AA101" s="149">
        <f t="shared" si="41"/>
        <v>0</v>
      </c>
      <c r="AD101" s="149" t="e">
        <f t="shared" si="42"/>
        <v>#DIV/0!</v>
      </c>
      <c r="AE101" s="150">
        <f t="shared" si="43"/>
        <v>0</v>
      </c>
    </row>
    <row r="130" ht="15"/>
    <row r="131" ht="15"/>
  </sheetData>
  <sheetProtection/>
  <printOptions/>
  <pageMargins left="0.3937007874015748" right="0" top="0.6481481481481481" bottom="0.5905511811023623" header="0.11811023622047245" footer="0.31496062992125984"/>
  <pageSetup horizontalDpi="300" verticalDpi="300" orientation="landscape" paperSize="5" r:id="rId3"/>
  <headerFooter alignWithMargins="0">
    <oddHeader>&amp;C&amp;"Cordia New,ตัวหนา"&amp;18แผนจัดซื้อวัสดุการแพทย์  กลุ่มงานเภสัชกรรมและคุ้มครองผู้บริโภค  โรงพยาบาลน้ำยืน  ประจำปีงบประมาณ 2565</oddHeader>
    <oddFooter>&amp;C&amp;A&amp;Rหน้าที่ &amp;ห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0"/>
  <sheetViews>
    <sheetView view="pageLayout" zoomScale="120" zoomScalePageLayoutView="120" workbookViewId="0" topLeftCell="B111">
      <selection activeCell="X134" sqref="A1:X134"/>
    </sheetView>
  </sheetViews>
  <sheetFormatPr defaultColWidth="9.140625" defaultRowHeight="21.75"/>
  <cols>
    <col min="1" max="1" width="9.140625" style="149" hidden="1" customWidth="1"/>
    <col min="2" max="2" width="5.28125" style="149" customWidth="1"/>
    <col min="3" max="3" width="16.8515625" style="149" hidden="1" customWidth="1"/>
    <col min="4" max="4" width="31.7109375" style="149" customWidth="1"/>
    <col min="5" max="5" width="9.140625" style="149" hidden="1" customWidth="1"/>
    <col min="6" max="6" width="7.28125" style="182" customWidth="1"/>
    <col min="7" max="7" width="8.8515625" style="182" customWidth="1"/>
    <col min="8" max="8" width="7.140625" style="149" customWidth="1"/>
    <col min="9" max="10" width="7.28125" style="149" customWidth="1"/>
    <col min="11" max="11" width="8.00390625" style="149" customWidth="1"/>
    <col min="12" max="12" width="7.8515625" style="149" customWidth="1"/>
    <col min="13" max="13" width="9.140625" style="149" customWidth="1"/>
    <col min="14" max="14" width="8.421875" style="149" customWidth="1"/>
    <col min="15" max="15" width="10.421875" style="156" customWidth="1"/>
    <col min="16" max="16" width="6.8515625" style="149" customWidth="1"/>
    <col min="17" max="17" width="8.8515625" style="149" customWidth="1"/>
    <col min="18" max="18" width="6.421875" style="149" customWidth="1"/>
    <col min="19" max="19" width="9.140625" style="149" customWidth="1"/>
    <col min="20" max="20" width="6.8515625" style="149" customWidth="1"/>
    <col min="21" max="21" width="9.00390625" style="149" customWidth="1"/>
    <col min="22" max="22" width="5.8515625" style="182" customWidth="1"/>
    <col min="23" max="23" width="8.421875" style="182" customWidth="1"/>
    <col min="24" max="24" width="7.57421875" style="149" customWidth="1"/>
    <col min="25" max="25" width="7.8515625" style="149" customWidth="1"/>
    <col min="26" max="26" width="10.7109375" style="149" customWidth="1"/>
    <col min="27" max="27" width="6.8515625" style="149" customWidth="1"/>
    <col min="28" max="29" width="8.8515625" style="149" customWidth="1"/>
    <col min="30" max="30" width="9.421875" style="149" customWidth="1"/>
    <col min="31" max="31" width="14.00390625" style="150" customWidth="1"/>
    <col min="32" max="16384" width="8.8515625" style="149" customWidth="1"/>
  </cols>
  <sheetData>
    <row r="1" spans="1:33" ht="15">
      <c r="A1" s="130" t="s">
        <v>1199</v>
      </c>
      <c r="B1" s="237" t="s">
        <v>2</v>
      </c>
      <c r="C1" s="134" t="s">
        <v>1213</v>
      </c>
      <c r="D1" s="236" t="s">
        <v>1293</v>
      </c>
      <c r="E1" s="236" t="s">
        <v>1202</v>
      </c>
      <c r="F1" s="237" t="s">
        <v>1579</v>
      </c>
      <c r="G1" s="236" t="s">
        <v>1203</v>
      </c>
      <c r="H1" s="273"/>
      <c r="I1" s="274" t="s">
        <v>1205</v>
      </c>
      <c r="J1" s="235"/>
      <c r="K1" s="236" t="s">
        <v>0</v>
      </c>
      <c r="L1" s="236" t="s">
        <v>1214</v>
      </c>
      <c r="M1" s="236" t="s">
        <v>0</v>
      </c>
      <c r="N1" s="237" t="s">
        <v>1390</v>
      </c>
      <c r="O1" s="275" t="s">
        <v>1288</v>
      </c>
      <c r="P1" s="255" t="s">
        <v>1289</v>
      </c>
      <c r="Q1" s="235"/>
      <c r="R1" s="255" t="s">
        <v>1290</v>
      </c>
      <c r="S1" s="256"/>
      <c r="T1" s="255" t="s">
        <v>1291</v>
      </c>
      <c r="U1" s="235"/>
      <c r="V1" s="255" t="s">
        <v>1292</v>
      </c>
      <c r="W1" s="256"/>
      <c r="X1" s="203" t="s">
        <v>608</v>
      </c>
      <c r="AA1" s="149" t="s">
        <v>1318</v>
      </c>
      <c r="AB1" s="149" t="s">
        <v>1297</v>
      </c>
      <c r="AC1" s="149" t="s">
        <v>6</v>
      </c>
      <c r="AD1" s="149" t="s">
        <v>1</v>
      </c>
      <c r="AE1" s="150" t="s">
        <v>1303</v>
      </c>
      <c r="AF1" s="149" t="s">
        <v>4</v>
      </c>
      <c r="AG1" s="149" t="s">
        <v>1304</v>
      </c>
    </row>
    <row r="2" spans="1:29" ht="15">
      <c r="A2" s="276"/>
      <c r="B2" s="277"/>
      <c r="C2" s="278"/>
      <c r="D2" s="278"/>
      <c r="E2" s="252"/>
      <c r="F2" s="241" t="s">
        <v>1204</v>
      </c>
      <c r="G2" s="252" t="s">
        <v>1204</v>
      </c>
      <c r="H2" s="136">
        <v>2562</v>
      </c>
      <c r="I2" s="136">
        <v>2563</v>
      </c>
      <c r="J2" s="136">
        <v>2564</v>
      </c>
      <c r="K2" s="136" t="s">
        <v>1537</v>
      </c>
      <c r="L2" s="136" t="s">
        <v>4</v>
      </c>
      <c r="M2" s="136" t="s">
        <v>1538</v>
      </c>
      <c r="N2" s="277" t="s">
        <v>1286</v>
      </c>
      <c r="O2" s="279"/>
      <c r="P2" s="258" t="s">
        <v>5</v>
      </c>
      <c r="Q2" s="241" t="s">
        <v>1208</v>
      </c>
      <c r="R2" s="241" t="s">
        <v>5</v>
      </c>
      <c r="S2" s="259" t="s">
        <v>1208</v>
      </c>
      <c r="T2" s="277" t="s">
        <v>5</v>
      </c>
      <c r="U2" s="277" t="s">
        <v>1208</v>
      </c>
      <c r="V2" s="277" t="s">
        <v>5</v>
      </c>
      <c r="W2" s="280" t="s">
        <v>1208</v>
      </c>
      <c r="X2" s="276"/>
      <c r="AB2" s="149" t="s">
        <v>1494</v>
      </c>
      <c r="AC2" s="149" t="s">
        <v>1207</v>
      </c>
    </row>
    <row r="3" spans="1:31" ht="15">
      <c r="A3" s="140">
        <v>10949</v>
      </c>
      <c r="B3" s="225">
        <v>1</v>
      </c>
      <c r="C3" s="221"/>
      <c r="D3" s="187" t="s">
        <v>1373</v>
      </c>
      <c r="E3" s="187"/>
      <c r="F3" s="221">
        <v>1</v>
      </c>
      <c r="G3" s="221" t="s">
        <v>409</v>
      </c>
      <c r="H3" s="140">
        <v>40</v>
      </c>
      <c r="I3" s="143">
        <v>81</v>
      </c>
      <c r="J3" s="143">
        <f>AE3</f>
        <v>96</v>
      </c>
      <c r="K3" s="142">
        <v>100</v>
      </c>
      <c r="L3" s="140">
        <v>0</v>
      </c>
      <c r="M3" s="142">
        <f>K3-L3</f>
        <v>100</v>
      </c>
      <c r="N3" s="140">
        <v>200</v>
      </c>
      <c r="O3" s="159">
        <f>N3*M3</f>
        <v>20000</v>
      </c>
      <c r="P3" s="140">
        <v>50</v>
      </c>
      <c r="Q3" s="151">
        <f aca="true" t="shared" si="0" ref="Q3:Q9">P3*N3</f>
        <v>10000</v>
      </c>
      <c r="R3" s="140">
        <v>0</v>
      </c>
      <c r="S3" s="151">
        <f aca="true" t="shared" si="1" ref="S3:S9">R3*N3</f>
        <v>0</v>
      </c>
      <c r="T3" s="151">
        <v>50</v>
      </c>
      <c r="U3" s="146">
        <f aca="true" t="shared" si="2" ref="U3:U9">T3*N3</f>
        <v>10000</v>
      </c>
      <c r="V3" s="140">
        <v>0</v>
      </c>
      <c r="W3" s="140">
        <f aca="true" t="shared" si="3" ref="W3:W9">V3*N3</f>
        <v>0</v>
      </c>
      <c r="X3" s="146"/>
      <c r="Y3" s="269">
        <f aca="true" t="shared" si="4" ref="Y3:Y8">M3-Z3</f>
        <v>0</v>
      </c>
      <c r="Z3" s="269">
        <f aca="true" t="shared" si="5" ref="Z3:Z8">P3+R3+T3+V3</f>
        <v>100</v>
      </c>
      <c r="AA3" s="149">
        <f aca="true" t="shared" si="6" ref="AA3:AA8">M3/4</f>
        <v>25</v>
      </c>
      <c r="AB3" s="149">
        <v>80</v>
      </c>
      <c r="AC3" s="149">
        <v>15921.6</v>
      </c>
      <c r="AD3" s="149">
        <f aca="true" t="shared" si="7" ref="AD3:AD8">AC3/AB3</f>
        <v>199.02</v>
      </c>
      <c r="AE3" s="150">
        <f>AB3/10*12</f>
        <v>96</v>
      </c>
    </row>
    <row r="4" spans="1:31" ht="15">
      <c r="A4" s="140">
        <v>10949</v>
      </c>
      <c r="B4" s="221">
        <v>2</v>
      </c>
      <c r="C4" s="225"/>
      <c r="D4" s="187" t="s">
        <v>295</v>
      </c>
      <c r="E4" s="187"/>
      <c r="F4" s="225">
        <v>1</v>
      </c>
      <c r="G4" s="140" t="s">
        <v>409</v>
      </c>
      <c r="H4" s="140">
        <v>166</v>
      </c>
      <c r="I4" s="143">
        <v>136</v>
      </c>
      <c r="J4" s="143">
        <f aca="true" t="shared" si="8" ref="J4:J59">AE4</f>
        <v>0</v>
      </c>
      <c r="K4" s="142">
        <v>100</v>
      </c>
      <c r="L4" s="140">
        <v>0</v>
      </c>
      <c r="M4" s="142">
        <f aca="true" t="shared" si="9" ref="M4:M59">K4-L4</f>
        <v>100</v>
      </c>
      <c r="N4" s="163">
        <v>16</v>
      </c>
      <c r="O4" s="159">
        <f aca="true" t="shared" si="10" ref="O4:O71">N4*M4</f>
        <v>1600</v>
      </c>
      <c r="P4" s="140">
        <v>100</v>
      </c>
      <c r="Q4" s="151">
        <f t="shared" si="0"/>
        <v>1600</v>
      </c>
      <c r="R4" s="140">
        <v>0</v>
      </c>
      <c r="S4" s="151">
        <f t="shared" si="1"/>
        <v>0</v>
      </c>
      <c r="T4" s="151">
        <v>0</v>
      </c>
      <c r="U4" s="281">
        <f t="shared" si="2"/>
        <v>0</v>
      </c>
      <c r="V4" s="140">
        <v>0</v>
      </c>
      <c r="W4" s="140">
        <f t="shared" si="3"/>
        <v>0</v>
      </c>
      <c r="X4" s="146"/>
      <c r="Y4" s="269">
        <f t="shared" si="4"/>
        <v>0</v>
      </c>
      <c r="Z4" s="269">
        <f t="shared" si="5"/>
        <v>100</v>
      </c>
      <c r="AA4" s="149">
        <f t="shared" si="6"/>
        <v>25</v>
      </c>
      <c r="AD4" s="149" t="e">
        <f t="shared" si="7"/>
        <v>#DIV/0!</v>
      </c>
      <c r="AE4" s="150">
        <f aca="true" t="shared" si="11" ref="AE4:AE59">AB4/10*12</f>
        <v>0</v>
      </c>
    </row>
    <row r="5" spans="1:31" ht="15">
      <c r="A5" s="140">
        <v>10949</v>
      </c>
      <c r="B5" s="225">
        <v>3</v>
      </c>
      <c r="C5" s="221"/>
      <c r="D5" s="187" t="s">
        <v>297</v>
      </c>
      <c r="E5" s="187"/>
      <c r="F5" s="225">
        <v>1</v>
      </c>
      <c r="G5" s="140" t="s">
        <v>409</v>
      </c>
      <c r="H5" s="140">
        <v>840</v>
      </c>
      <c r="I5" s="143">
        <v>840</v>
      </c>
      <c r="J5" s="143">
        <f t="shared" si="8"/>
        <v>187.2</v>
      </c>
      <c r="K5" s="142">
        <v>648</v>
      </c>
      <c r="L5" s="140">
        <v>168</v>
      </c>
      <c r="M5" s="142">
        <f t="shared" si="9"/>
        <v>480</v>
      </c>
      <c r="N5" s="282">
        <v>62.5</v>
      </c>
      <c r="O5" s="159">
        <f t="shared" si="10"/>
        <v>30000</v>
      </c>
      <c r="P5" s="140">
        <v>120</v>
      </c>
      <c r="Q5" s="151">
        <f t="shared" si="0"/>
        <v>7500</v>
      </c>
      <c r="R5" s="140">
        <v>120</v>
      </c>
      <c r="S5" s="151">
        <f t="shared" si="1"/>
        <v>7500</v>
      </c>
      <c r="T5" s="151">
        <v>120</v>
      </c>
      <c r="U5" s="281">
        <f t="shared" si="2"/>
        <v>7500</v>
      </c>
      <c r="V5" s="140">
        <v>120</v>
      </c>
      <c r="W5" s="140">
        <f t="shared" si="3"/>
        <v>7500</v>
      </c>
      <c r="X5" s="146"/>
      <c r="Y5" s="269">
        <f t="shared" si="4"/>
        <v>0</v>
      </c>
      <c r="Z5" s="269">
        <f t="shared" si="5"/>
        <v>480</v>
      </c>
      <c r="AA5" s="149">
        <f t="shared" si="6"/>
        <v>120</v>
      </c>
      <c r="AB5" s="149">
        <f>13*12</f>
        <v>156</v>
      </c>
      <c r="AC5" s="149">
        <v>9750</v>
      </c>
      <c r="AD5" s="149">
        <f t="shared" si="7"/>
        <v>62.5</v>
      </c>
      <c r="AE5" s="150">
        <f t="shared" si="11"/>
        <v>187.2</v>
      </c>
    </row>
    <row r="6" spans="1:31" ht="15">
      <c r="A6" s="140">
        <v>10949</v>
      </c>
      <c r="B6" s="221">
        <v>4</v>
      </c>
      <c r="C6" s="221"/>
      <c r="D6" s="187" t="s">
        <v>298</v>
      </c>
      <c r="E6" s="187"/>
      <c r="F6" s="225">
        <v>1</v>
      </c>
      <c r="G6" s="140" t="s">
        <v>409</v>
      </c>
      <c r="H6" s="140">
        <v>72</v>
      </c>
      <c r="I6" s="143">
        <v>72</v>
      </c>
      <c r="J6" s="143">
        <f t="shared" si="8"/>
        <v>72</v>
      </c>
      <c r="K6" s="142">
        <v>76</v>
      </c>
      <c r="L6" s="140">
        <v>16</v>
      </c>
      <c r="M6" s="142">
        <f t="shared" si="9"/>
        <v>60</v>
      </c>
      <c r="N6" s="282">
        <v>62.5</v>
      </c>
      <c r="O6" s="159">
        <f t="shared" si="10"/>
        <v>3750</v>
      </c>
      <c r="P6" s="140">
        <v>0</v>
      </c>
      <c r="Q6" s="151">
        <f t="shared" si="0"/>
        <v>0</v>
      </c>
      <c r="R6" s="140">
        <v>60</v>
      </c>
      <c r="S6" s="151">
        <f t="shared" si="1"/>
        <v>3750</v>
      </c>
      <c r="T6" s="280">
        <v>0</v>
      </c>
      <c r="U6" s="281">
        <f t="shared" si="2"/>
        <v>0</v>
      </c>
      <c r="V6" s="140">
        <v>0</v>
      </c>
      <c r="W6" s="140">
        <f t="shared" si="3"/>
        <v>0</v>
      </c>
      <c r="X6" s="146"/>
      <c r="Y6" s="269">
        <f t="shared" si="4"/>
        <v>0</v>
      </c>
      <c r="Z6" s="269">
        <f t="shared" si="5"/>
        <v>60</v>
      </c>
      <c r="AA6" s="149">
        <f t="shared" si="6"/>
        <v>15</v>
      </c>
      <c r="AB6" s="149">
        <f>5*12</f>
        <v>60</v>
      </c>
      <c r="AC6" s="149">
        <v>3750</v>
      </c>
      <c r="AD6" s="149">
        <f t="shared" si="7"/>
        <v>62.5</v>
      </c>
      <c r="AE6" s="150">
        <f t="shared" si="11"/>
        <v>72</v>
      </c>
    </row>
    <row r="7" spans="1:31" ht="15">
      <c r="A7" s="140">
        <v>10949</v>
      </c>
      <c r="B7" s="225">
        <v>5</v>
      </c>
      <c r="C7" s="221"/>
      <c r="D7" s="187" t="s">
        <v>299</v>
      </c>
      <c r="E7" s="187"/>
      <c r="F7" s="225">
        <v>1</v>
      </c>
      <c r="G7" s="140" t="s">
        <v>409</v>
      </c>
      <c r="H7" s="140">
        <v>70</v>
      </c>
      <c r="I7" s="143">
        <v>70</v>
      </c>
      <c r="J7" s="143">
        <f t="shared" si="8"/>
        <v>57.599999999999994</v>
      </c>
      <c r="K7" s="142">
        <v>72</v>
      </c>
      <c r="L7" s="140">
        <v>12</v>
      </c>
      <c r="M7" s="142">
        <f t="shared" si="9"/>
        <v>60</v>
      </c>
      <c r="N7" s="282">
        <v>62.5</v>
      </c>
      <c r="O7" s="159">
        <f t="shared" si="10"/>
        <v>3750</v>
      </c>
      <c r="P7" s="140">
        <v>0</v>
      </c>
      <c r="Q7" s="151">
        <f t="shared" si="0"/>
        <v>0</v>
      </c>
      <c r="R7" s="140">
        <v>60</v>
      </c>
      <c r="S7" s="151">
        <f t="shared" si="1"/>
        <v>3750</v>
      </c>
      <c r="T7" s="280">
        <v>0</v>
      </c>
      <c r="U7" s="281">
        <f t="shared" si="2"/>
        <v>0</v>
      </c>
      <c r="V7" s="140">
        <v>0</v>
      </c>
      <c r="W7" s="140">
        <f t="shared" si="3"/>
        <v>0</v>
      </c>
      <c r="X7" s="146"/>
      <c r="Y7" s="269">
        <f t="shared" si="4"/>
        <v>0</v>
      </c>
      <c r="Z7" s="269">
        <f t="shared" si="5"/>
        <v>60</v>
      </c>
      <c r="AA7" s="149">
        <f t="shared" si="6"/>
        <v>15</v>
      </c>
      <c r="AB7" s="149">
        <f>4*12</f>
        <v>48</v>
      </c>
      <c r="AC7" s="149">
        <v>3000</v>
      </c>
      <c r="AD7" s="149">
        <f t="shared" si="7"/>
        <v>62.5</v>
      </c>
      <c r="AE7" s="150">
        <f t="shared" si="11"/>
        <v>57.599999999999994</v>
      </c>
    </row>
    <row r="8" spans="1:31" ht="15">
      <c r="A8" s="140">
        <v>10949</v>
      </c>
      <c r="B8" s="221">
        <v>6</v>
      </c>
      <c r="C8" s="225"/>
      <c r="D8" s="187" t="s">
        <v>300</v>
      </c>
      <c r="E8" s="187"/>
      <c r="F8" s="225">
        <v>1</v>
      </c>
      <c r="G8" s="140" t="s">
        <v>412</v>
      </c>
      <c r="H8" s="140">
        <v>400</v>
      </c>
      <c r="I8" s="143">
        <v>200</v>
      </c>
      <c r="J8" s="143">
        <f t="shared" si="8"/>
        <v>0</v>
      </c>
      <c r="K8" s="142">
        <v>200</v>
      </c>
      <c r="L8" s="140">
        <v>200</v>
      </c>
      <c r="M8" s="142">
        <f t="shared" si="9"/>
        <v>0</v>
      </c>
      <c r="N8" s="140">
        <v>13</v>
      </c>
      <c r="O8" s="159">
        <f t="shared" si="10"/>
        <v>0</v>
      </c>
      <c r="P8" s="140">
        <v>0</v>
      </c>
      <c r="Q8" s="151">
        <f t="shared" si="0"/>
        <v>0</v>
      </c>
      <c r="R8" s="225">
        <v>0</v>
      </c>
      <c r="S8" s="280">
        <f t="shared" si="1"/>
        <v>0</v>
      </c>
      <c r="T8" s="280">
        <v>0</v>
      </c>
      <c r="U8" s="281">
        <f t="shared" si="2"/>
        <v>0</v>
      </c>
      <c r="V8" s="140">
        <v>0</v>
      </c>
      <c r="W8" s="140">
        <f t="shared" si="3"/>
        <v>0</v>
      </c>
      <c r="X8" s="146"/>
      <c r="Y8" s="269">
        <f t="shared" si="4"/>
        <v>0</v>
      </c>
      <c r="Z8" s="269">
        <f t="shared" si="5"/>
        <v>0</v>
      </c>
      <c r="AA8" s="149">
        <f t="shared" si="6"/>
        <v>0</v>
      </c>
      <c r="AD8" s="149" t="e">
        <f t="shared" si="7"/>
        <v>#DIV/0!</v>
      </c>
      <c r="AE8" s="150">
        <f t="shared" si="11"/>
        <v>0</v>
      </c>
    </row>
    <row r="9" spans="1:31" ht="15">
      <c r="A9" s="140">
        <v>10949</v>
      </c>
      <c r="B9" s="225">
        <v>7</v>
      </c>
      <c r="C9" s="221"/>
      <c r="D9" s="187" t="s">
        <v>1428</v>
      </c>
      <c r="E9" s="187"/>
      <c r="F9" s="221">
        <v>1</v>
      </c>
      <c r="G9" s="140" t="s">
        <v>409</v>
      </c>
      <c r="H9" s="140">
        <v>1325</v>
      </c>
      <c r="I9" s="142">
        <v>1875</v>
      </c>
      <c r="J9" s="143">
        <v>1627</v>
      </c>
      <c r="K9" s="142">
        <v>1800</v>
      </c>
      <c r="L9" s="140">
        <v>200</v>
      </c>
      <c r="M9" s="142">
        <f t="shared" si="9"/>
        <v>1600</v>
      </c>
      <c r="N9" s="140">
        <v>6</v>
      </c>
      <c r="O9" s="159">
        <f t="shared" si="10"/>
        <v>9600</v>
      </c>
      <c r="P9" s="140">
        <v>400</v>
      </c>
      <c r="Q9" s="151">
        <f t="shared" si="0"/>
        <v>2400</v>
      </c>
      <c r="R9" s="140">
        <v>400</v>
      </c>
      <c r="S9" s="151">
        <f t="shared" si="1"/>
        <v>2400</v>
      </c>
      <c r="T9" s="140">
        <v>400</v>
      </c>
      <c r="U9" s="140">
        <f t="shared" si="2"/>
        <v>2400</v>
      </c>
      <c r="V9" s="140">
        <v>400</v>
      </c>
      <c r="W9" s="140">
        <f t="shared" si="3"/>
        <v>2400</v>
      </c>
      <c r="X9" s="146"/>
      <c r="Y9" s="269">
        <f>M9-Z9</f>
        <v>0</v>
      </c>
      <c r="Z9" s="269">
        <f>P9+R9+T9+V9</f>
        <v>1600</v>
      </c>
      <c r="AA9" s="149">
        <f>M9/4</f>
        <v>400</v>
      </c>
      <c r="AE9" s="150">
        <f t="shared" si="11"/>
        <v>0</v>
      </c>
    </row>
    <row r="10" spans="1:31" ht="15">
      <c r="A10" s="140">
        <v>10949</v>
      </c>
      <c r="B10" s="221">
        <v>8</v>
      </c>
      <c r="C10" s="221"/>
      <c r="D10" s="187" t="s">
        <v>1322</v>
      </c>
      <c r="E10" s="187"/>
      <c r="F10" s="221">
        <v>1</v>
      </c>
      <c r="G10" s="140" t="s">
        <v>1241</v>
      </c>
      <c r="H10" s="140">
        <v>5100</v>
      </c>
      <c r="I10" s="143">
        <v>4800</v>
      </c>
      <c r="J10" s="143">
        <f t="shared" si="8"/>
        <v>2401.2</v>
      </c>
      <c r="K10" s="142">
        <v>4300</v>
      </c>
      <c r="L10" s="140">
        <v>1100</v>
      </c>
      <c r="M10" s="142">
        <f t="shared" si="9"/>
        <v>3200</v>
      </c>
      <c r="N10" s="140">
        <v>1.2</v>
      </c>
      <c r="O10" s="159">
        <f t="shared" si="10"/>
        <v>3840</v>
      </c>
      <c r="P10" s="140">
        <v>800</v>
      </c>
      <c r="Q10" s="151">
        <f aca="true" t="shared" si="12" ref="Q10:Q18">P10*N10</f>
        <v>960</v>
      </c>
      <c r="R10" s="140">
        <v>800</v>
      </c>
      <c r="S10" s="151">
        <f aca="true" t="shared" si="13" ref="S10:S18">R10*N10</f>
        <v>960</v>
      </c>
      <c r="T10" s="151">
        <v>800</v>
      </c>
      <c r="U10" s="281">
        <f aca="true" t="shared" si="14" ref="U10:U18">T10*N10</f>
        <v>960</v>
      </c>
      <c r="V10" s="140">
        <v>800</v>
      </c>
      <c r="W10" s="140">
        <f aca="true" t="shared" si="15" ref="W10:W18">V10*N10</f>
        <v>960</v>
      </c>
      <c r="X10" s="146"/>
      <c r="Y10" s="269">
        <f aca="true" t="shared" si="16" ref="Y10:Y18">M10-Z10</f>
        <v>0</v>
      </c>
      <c r="Z10" s="269">
        <f aca="true" t="shared" si="17" ref="Z10:Z18">P10+R10+T10+V10</f>
        <v>3200</v>
      </c>
      <c r="AA10" s="149">
        <f aca="true" t="shared" si="18" ref="AA10:AA18">M10/4</f>
        <v>800</v>
      </c>
      <c r="AB10" s="149">
        <v>2001</v>
      </c>
      <c r="AC10" s="149">
        <v>3420</v>
      </c>
      <c r="AD10" s="149">
        <f aca="true" t="shared" si="19" ref="AD10:AD18">AC10/AB10</f>
        <v>1.7091454272863569</v>
      </c>
      <c r="AE10" s="150">
        <f t="shared" si="11"/>
        <v>2401.2</v>
      </c>
    </row>
    <row r="11" spans="1:31" ht="15">
      <c r="A11" s="140">
        <v>10949</v>
      </c>
      <c r="B11" s="225">
        <v>9</v>
      </c>
      <c r="C11" s="221"/>
      <c r="D11" s="187" t="s">
        <v>1420</v>
      </c>
      <c r="E11" s="187"/>
      <c r="F11" s="225">
        <v>1</v>
      </c>
      <c r="G11" s="140" t="s">
        <v>1237</v>
      </c>
      <c r="H11" s="140">
        <v>591</v>
      </c>
      <c r="I11" s="143">
        <v>540</v>
      </c>
      <c r="J11" s="143">
        <f t="shared" si="8"/>
        <v>552</v>
      </c>
      <c r="K11" s="142">
        <v>590</v>
      </c>
      <c r="L11" s="140">
        <v>50</v>
      </c>
      <c r="M11" s="142">
        <f t="shared" si="9"/>
        <v>540</v>
      </c>
      <c r="N11" s="140">
        <v>80</v>
      </c>
      <c r="O11" s="159">
        <f t="shared" si="10"/>
        <v>43200</v>
      </c>
      <c r="P11" s="140">
        <v>140</v>
      </c>
      <c r="Q11" s="151">
        <f t="shared" si="12"/>
        <v>11200</v>
      </c>
      <c r="R11" s="140">
        <v>130</v>
      </c>
      <c r="S11" s="151">
        <f t="shared" si="13"/>
        <v>10400</v>
      </c>
      <c r="T11" s="151">
        <v>140</v>
      </c>
      <c r="U11" s="281">
        <f t="shared" si="14"/>
        <v>11200</v>
      </c>
      <c r="V11" s="140">
        <v>130</v>
      </c>
      <c r="W11" s="140">
        <f t="shared" si="15"/>
        <v>10400</v>
      </c>
      <c r="X11" s="146"/>
      <c r="Y11" s="269">
        <f t="shared" si="16"/>
        <v>0</v>
      </c>
      <c r="Z11" s="269">
        <f t="shared" si="17"/>
        <v>540</v>
      </c>
      <c r="AA11" s="149">
        <f t="shared" si="18"/>
        <v>135</v>
      </c>
      <c r="AB11" s="149">
        <v>460</v>
      </c>
      <c r="AC11" s="149">
        <v>36320</v>
      </c>
      <c r="AD11" s="149">
        <f t="shared" si="19"/>
        <v>78.95652173913044</v>
      </c>
      <c r="AE11" s="150">
        <f t="shared" si="11"/>
        <v>552</v>
      </c>
    </row>
    <row r="12" spans="1:31" ht="15">
      <c r="A12" s="140">
        <v>10949</v>
      </c>
      <c r="B12" s="221">
        <v>10</v>
      </c>
      <c r="C12" s="221"/>
      <c r="D12" s="187" t="s">
        <v>1410</v>
      </c>
      <c r="E12" s="187"/>
      <c r="F12" s="221">
        <v>1</v>
      </c>
      <c r="G12" s="140" t="s">
        <v>1241</v>
      </c>
      <c r="H12" s="140">
        <v>15160</v>
      </c>
      <c r="I12" s="143">
        <v>15440</v>
      </c>
      <c r="J12" s="143">
        <f t="shared" si="8"/>
        <v>10368</v>
      </c>
      <c r="K12" s="142">
        <v>15000</v>
      </c>
      <c r="L12" s="140">
        <v>0</v>
      </c>
      <c r="M12" s="142">
        <f t="shared" si="9"/>
        <v>15000</v>
      </c>
      <c r="N12" s="140">
        <v>5.5</v>
      </c>
      <c r="O12" s="159">
        <f t="shared" si="10"/>
        <v>82500</v>
      </c>
      <c r="P12" s="140">
        <v>3750</v>
      </c>
      <c r="Q12" s="151">
        <f t="shared" si="12"/>
        <v>20625</v>
      </c>
      <c r="R12" s="140">
        <v>3750</v>
      </c>
      <c r="S12" s="151">
        <f t="shared" si="13"/>
        <v>20625</v>
      </c>
      <c r="T12" s="151">
        <v>3750</v>
      </c>
      <c r="U12" s="281">
        <f t="shared" si="14"/>
        <v>20625</v>
      </c>
      <c r="V12" s="140">
        <v>3750</v>
      </c>
      <c r="W12" s="140">
        <f t="shared" si="15"/>
        <v>20625</v>
      </c>
      <c r="X12" s="146"/>
      <c r="Y12" s="269">
        <f t="shared" si="16"/>
        <v>0</v>
      </c>
      <c r="Z12" s="269">
        <f t="shared" si="17"/>
        <v>15000</v>
      </c>
      <c r="AA12" s="149">
        <f t="shared" si="18"/>
        <v>3750</v>
      </c>
      <c r="AB12" s="149">
        <v>8640</v>
      </c>
      <c r="AC12" s="149">
        <v>38880</v>
      </c>
      <c r="AD12" s="149">
        <f t="shared" si="19"/>
        <v>4.5</v>
      </c>
      <c r="AE12" s="150">
        <f t="shared" si="11"/>
        <v>10368</v>
      </c>
    </row>
    <row r="13" spans="1:31" ht="15">
      <c r="A13" s="140">
        <v>10949</v>
      </c>
      <c r="B13" s="225">
        <v>11</v>
      </c>
      <c r="C13" s="225"/>
      <c r="D13" s="187" t="s">
        <v>301</v>
      </c>
      <c r="E13" s="187"/>
      <c r="F13" s="225">
        <v>1</v>
      </c>
      <c r="G13" s="140" t="s">
        <v>1237</v>
      </c>
      <c r="H13" s="140">
        <v>89</v>
      </c>
      <c r="I13" s="143">
        <v>100</v>
      </c>
      <c r="J13" s="143">
        <f t="shared" si="8"/>
        <v>84</v>
      </c>
      <c r="K13" s="142">
        <v>100</v>
      </c>
      <c r="L13" s="140">
        <v>10</v>
      </c>
      <c r="M13" s="142">
        <f t="shared" si="9"/>
        <v>90</v>
      </c>
      <c r="N13" s="140">
        <v>80</v>
      </c>
      <c r="O13" s="159">
        <f t="shared" si="10"/>
        <v>7200</v>
      </c>
      <c r="P13" s="140">
        <v>20</v>
      </c>
      <c r="Q13" s="151">
        <f t="shared" si="12"/>
        <v>1600</v>
      </c>
      <c r="R13" s="140">
        <v>20</v>
      </c>
      <c r="S13" s="151">
        <f t="shared" si="13"/>
        <v>1600</v>
      </c>
      <c r="T13" s="151">
        <v>30</v>
      </c>
      <c r="U13" s="281">
        <f t="shared" si="14"/>
        <v>2400</v>
      </c>
      <c r="V13" s="140">
        <v>20</v>
      </c>
      <c r="W13" s="140">
        <f t="shared" si="15"/>
        <v>1600</v>
      </c>
      <c r="X13" s="146"/>
      <c r="Y13" s="269">
        <f t="shared" si="16"/>
        <v>0</v>
      </c>
      <c r="Z13" s="269">
        <f t="shared" si="17"/>
        <v>90</v>
      </c>
      <c r="AA13" s="149">
        <f t="shared" si="18"/>
        <v>22.5</v>
      </c>
      <c r="AB13" s="149">
        <v>70</v>
      </c>
      <c r="AC13" s="149">
        <v>5360</v>
      </c>
      <c r="AD13" s="149">
        <f t="shared" si="19"/>
        <v>76.57142857142857</v>
      </c>
      <c r="AE13" s="150">
        <f t="shared" si="11"/>
        <v>84</v>
      </c>
    </row>
    <row r="14" spans="1:31" ht="15">
      <c r="A14" s="140">
        <v>10949</v>
      </c>
      <c r="B14" s="221">
        <v>12</v>
      </c>
      <c r="C14" s="221"/>
      <c r="D14" s="187" t="s">
        <v>302</v>
      </c>
      <c r="E14" s="187"/>
      <c r="F14" s="225">
        <v>1</v>
      </c>
      <c r="G14" s="140" t="s">
        <v>411</v>
      </c>
      <c r="H14" s="140">
        <v>25</v>
      </c>
      <c r="I14" s="143">
        <v>14</v>
      </c>
      <c r="J14" s="143">
        <f t="shared" si="8"/>
        <v>0</v>
      </c>
      <c r="K14" s="142">
        <v>14</v>
      </c>
      <c r="L14" s="140">
        <v>6</v>
      </c>
      <c r="M14" s="142">
        <v>15</v>
      </c>
      <c r="N14" s="140">
        <v>80</v>
      </c>
      <c r="O14" s="159">
        <f t="shared" si="10"/>
        <v>1200</v>
      </c>
      <c r="P14" s="140">
        <v>0</v>
      </c>
      <c r="Q14" s="151">
        <f t="shared" si="12"/>
        <v>0</v>
      </c>
      <c r="R14" s="140">
        <v>0</v>
      </c>
      <c r="S14" s="151">
        <f t="shared" si="13"/>
        <v>0</v>
      </c>
      <c r="T14" s="151">
        <v>15</v>
      </c>
      <c r="U14" s="281">
        <f t="shared" si="14"/>
        <v>1200</v>
      </c>
      <c r="V14" s="140">
        <v>0</v>
      </c>
      <c r="W14" s="140">
        <f t="shared" si="15"/>
        <v>0</v>
      </c>
      <c r="X14" s="146"/>
      <c r="Y14" s="269">
        <f t="shared" si="16"/>
        <v>0</v>
      </c>
      <c r="Z14" s="269">
        <f t="shared" si="17"/>
        <v>15</v>
      </c>
      <c r="AA14" s="149">
        <f t="shared" si="18"/>
        <v>3.75</v>
      </c>
      <c r="AD14" s="149" t="e">
        <f t="shared" si="19"/>
        <v>#DIV/0!</v>
      </c>
      <c r="AE14" s="150">
        <f t="shared" si="11"/>
        <v>0</v>
      </c>
    </row>
    <row r="15" spans="1:31" ht="15">
      <c r="A15" s="140">
        <v>10949</v>
      </c>
      <c r="B15" s="225">
        <v>13</v>
      </c>
      <c r="C15" s="225"/>
      <c r="D15" s="187" t="s">
        <v>305</v>
      </c>
      <c r="E15" s="187"/>
      <c r="F15" s="225">
        <v>1</v>
      </c>
      <c r="G15" s="140" t="s">
        <v>411</v>
      </c>
      <c r="H15" s="140">
        <v>73</v>
      </c>
      <c r="I15" s="143">
        <v>69</v>
      </c>
      <c r="J15" s="143">
        <f t="shared" si="8"/>
        <v>72</v>
      </c>
      <c r="K15" s="142">
        <v>75</v>
      </c>
      <c r="L15" s="271">
        <v>15</v>
      </c>
      <c r="M15" s="142">
        <f t="shared" si="9"/>
        <v>60</v>
      </c>
      <c r="N15" s="140">
        <v>10</v>
      </c>
      <c r="O15" s="159">
        <f t="shared" si="10"/>
        <v>600</v>
      </c>
      <c r="P15" s="140">
        <v>0</v>
      </c>
      <c r="Q15" s="151">
        <f t="shared" si="12"/>
        <v>0</v>
      </c>
      <c r="R15" s="140">
        <v>36</v>
      </c>
      <c r="S15" s="151">
        <f t="shared" si="13"/>
        <v>360</v>
      </c>
      <c r="T15" s="151">
        <v>0</v>
      </c>
      <c r="U15" s="281">
        <f t="shared" si="14"/>
        <v>0</v>
      </c>
      <c r="V15" s="140">
        <v>24</v>
      </c>
      <c r="W15" s="140">
        <f t="shared" si="15"/>
        <v>240</v>
      </c>
      <c r="X15" s="146"/>
      <c r="Y15" s="269">
        <f t="shared" si="16"/>
        <v>0</v>
      </c>
      <c r="Z15" s="269">
        <f t="shared" si="17"/>
        <v>60</v>
      </c>
      <c r="AA15" s="149">
        <f t="shared" si="18"/>
        <v>15</v>
      </c>
      <c r="AB15" s="149">
        <v>60</v>
      </c>
      <c r="AC15" s="149">
        <v>600</v>
      </c>
      <c r="AD15" s="149">
        <f t="shared" si="19"/>
        <v>10</v>
      </c>
      <c r="AE15" s="150">
        <f t="shared" si="11"/>
        <v>72</v>
      </c>
    </row>
    <row r="16" spans="1:31" ht="15">
      <c r="A16" s="140">
        <v>10949</v>
      </c>
      <c r="B16" s="221">
        <v>14</v>
      </c>
      <c r="C16" s="221"/>
      <c r="D16" s="187" t="s">
        <v>306</v>
      </c>
      <c r="E16" s="187"/>
      <c r="F16" s="225">
        <v>1</v>
      </c>
      <c r="G16" s="140" t="s">
        <v>411</v>
      </c>
      <c r="H16" s="140">
        <v>602</v>
      </c>
      <c r="I16" s="143">
        <v>508</v>
      </c>
      <c r="J16" s="143">
        <f t="shared" si="8"/>
        <v>362.4</v>
      </c>
      <c r="K16" s="142">
        <v>500</v>
      </c>
      <c r="L16" s="271">
        <v>20</v>
      </c>
      <c r="M16" s="142">
        <f t="shared" si="9"/>
        <v>480</v>
      </c>
      <c r="N16" s="140">
        <v>15</v>
      </c>
      <c r="O16" s="159">
        <f t="shared" si="10"/>
        <v>7200</v>
      </c>
      <c r="P16" s="140">
        <v>120</v>
      </c>
      <c r="Q16" s="151">
        <f t="shared" si="12"/>
        <v>1800</v>
      </c>
      <c r="R16" s="225">
        <v>120</v>
      </c>
      <c r="S16" s="280">
        <f t="shared" si="13"/>
        <v>1800</v>
      </c>
      <c r="T16" s="280">
        <v>120</v>
      </c>
      <c r="U16" s="281">
        <f t="shared" si="14"/>
        <v>1800</v>
      </c>
      <c r="V16" s="281">
        <v>120</v>
      </c>
      <c r="W16" s="140">
        <f t="shared" si="15"/>
        <v>1800</v>
      </c>
      <c r="X16" s="146"/>
      <c r="Y16" s="269">
        <f t="shared" si="16"/>
        <v>0</v>
      </c>
      <c r="Z16" s="269">
        <f t="shared" si="17"/>
        <v>480</v>
      </c>
      <c r="AA16" s="149">
        <f t="shared" si="18"/>
        <v>120</v>
      </c>
      <c r="AB16" s="149">
        <v>302</v>
      </c>
      <c r="AC16" s="149">
        <v>6156</v>
      </c>
      <c r="AD16" s="149">
        <f t="shared" si="19"/>
        <v>20.3841059602649</v>
      </c>
      <c r="AE16" s="150">
        <f t="shared" si="11"/>
        <v>362.4</v>
      </c>
    </row>
    <row r="17" spans="1:31" ht="15">
      <c r="A17" s="140">
        <v>10949</v>
      </c>
      <c r="B17" s="225">
        <v>15</v>
      </c>
      <c r="C17" s="221"/>
      <c r="D17" s="187" t="s">
        <v>307</v>
      </c>
      <c r="E17" s="187"/>
      <c r="F17" s="225">
        <v>1</v>
      </c>
      <c r="G17" s="140" t="s">
        <v>411</v>
      </c>
      <c r="H17" s="140">
        <v>887</v>
      </c>
      <c r="I17" s="143">
        <v>679</v>
      </c>
      <c r="J17" s="143">
        <f t="shared" si="8"/>
        <v>993.5999999999999</v>
      </c>
      <c r="K17" s="142">
        <v>1000</v>
      </c>
      <c r="L17" s="271">
        <v>220</v>
      </c>
      <c r="M17" s="142">
        <f t="shared" si="9"/>
        <v>780</v>
      </c>
      <c r="N17" s="140">
        <v>20</v>
      </c>
      <c r="O17" s="159">
        <f t="shared" si="10"/>
        <v>15600</v>
      </c>
      <c r="P17" s="140">
        <v>192</v>
      </c>
      <c r="Q17" s="151">
        <f t="shared" si="12"/>
        <v>3840</v>
      </c>
      <c r="R17" s="225">
        <v>204</v>
      </c>
      <c r="S17" s="280">
        <f t="shared" si="13"/>
        <v>4080</v>
      </c>
      <c r="T17" s="280">
        <v>192</v>
      </c>
      <c r="U17" s="281">
        <f t="shared" si="14"/>
        <v>3840</v>
      </c>
      <c r="V17" s="140">
        <v>192</v>
      </c>
      <c r="W17" s="140">
        <f t="shared" si="15"/>
        <v>3840</v>
      </c>
      <c r="X17" s="146"/>
      <c r="Y17" s="269">
        <f t="shared" si="16"/>
        <v>0</v>
      </c>
      <c r="Z17" s="269">
        <f t="shared" si="17"/>
        <v>780</v>
      </c>
      <c r="AA17" s="149">
        <f t="shared" si="18"/>
        <v>195</v>
      </c>
      <c r="AB17" s="149">
        <f>612+216</f>
        <v>828</v>
      </c>
      <c r="AC17" s="149">
        <f>11220+3600</f>
        <v>14820</v>
      </c>
      <c r="AD17" s="149">
        <f t="shared" si="19"/>
        <v>17.89855072463768</v>
      </c>
      <c r="AE17" s="150">
        <f t="shared" si="11"/>
        <v>993.5999999999999</v>
      </c>
    </row>
    <row r="18" spans="1:31" ht="15">
      <c r="A18" s="140">
        <v>10949</v>
      </c>
      <c r="B18" s="221">
        <v>16</v>
      </c>
      <c r="C18" s="221"/>
      <c r="D18" s="187" t="s">
        <v>308</v>
      </c>
      <c r="E18" s="187"/>
      <c r="F18" s="225">
        <v>1</v>
      </c>
      <c r="G18" s="140" t="s">
        <v>411</v>
      </c>
      <c r="H18" s="140">
        <v>795</v>
      </c>
      <c r="I18" s="143">
        <v>704</v>
      </c>
      <c r="J18" s="143">
        <f t="shared" si="8"/>
        <v>864</v>
      </c>
      <c r="K18" s="142">
        <v>870</v>
      </c>
      <c r="L18" s="271">
        <v>150</v>
      </c>
      <c r="M18" s="142">
        <f t="shared" si="9"/>
        <v>720</v>
      </c>
      <c r="N18" s="140">
        <v>30</v>
      </c>
      <c r="O18" s="159">
        <f t="shared" si="10"/>
        <v>21600</v>
      </c>
      <c r="P18" s="140">
        <v>180</v>
      </c>
      <c r="Q18" s="151">
        <f t="shared" si="12"/>
        <v>5400</v>
      </c>
      <c r="R18" s="225">
        <v>180</v>
      </c>
      <c r="S18" s="280">
        <f t="shared" si="13"/>
        <v>5400</v>
      </c>
      <c r="T18" s="280">
        <v>180</v>
      </c>
      <c r="U18" s="281">
        <f t="shared" si="14"/>
        <v>5400</v>
      </c>
      <c r="V18" s="281">
        <v>180</v>
      </c>
      <c r="W18" s="140">
        <f t="shared" si="15"/>
        <v>5400</v>
      </c>
      <c r="X18" s="146"/>
      <c r="Y18" s="269">
        <f t="shared" si="16"/>
        <v>0</v>
      </c>
      <c r="Z18" s="269">
        <f t="shared" si="17"/>
        <v>720</v>
      </c>
      <c r="AA18" s="149">
        <f t="shared" si="18"/>
        <v>180</v>
      </c>
      <c r="AB18" s="149">
        <f>600+120</f>
        <v>720</v>
      </c>
      <c r="AC18" s="149">
        <f>16178.4+3000</f>
        <v>19178.4</v>
      </c>
      <c r="AD18" s="149">
        <f t="shared" si="19"/>
        <v>26.63666666666667</v>
      </c>
      <c r="AE18" s="150">
        <f t="shared" si="11"/>
        <v>864</v>
      </c>
    </row>
    <row r="19" spans="1:31" ht="15">
      <c r="A19" s="140">
        <v>10949</v>
      </c>
      <c r="B19" s="225">
        <v>17</v>
      </c>
      <c r="C19" s="221"/>
      <c r="D19" s="187" t="s">
        <v>310</v>
      </c>
      <c r="E19" s="187"/>
      <c r="F19" s="225">
        <v>1</v>
      </c>
      <c r="G19" s="140" t="s">
        <v>1239</v>
      </c>
      <c r="H19" s="140">
        <v>10</v>
      </c>
      <c r="I19" s="143">
        <v>2</v>
      </c>
      <c r="J19" s="143">
        <f t="shared" si="8"/>
        <v>0</v>
      </c>
      <c r="K19" s="142">
        <v>5</v>
      </c>
      <c r="L19" s="271">
        <v>5</v>
      </c>
      <c r="M19" s="142">
        <f>K19-L19</f>
        <v>0</v>
      </c>
      <c r="N19" s="140">
        <v>35</v>
      </c>
      <c r="O19" s="159">
        <f t="shared" si="10"/>
        <v>0</v>
      </c>
      <c r="P19" s="140">
        <v>0</v>
      </c>
      <c r="Q19" s="151">
        <f aca="true" t="shared" si="20" ref="Q19:Q33">P19*N19</f>
        <v>0</v>
      </c>
      <c r="R19" s="225">
        <v>0</v>
      </c>
      <c r="S19" s="280">
        <f aca="true" t="shared" si="21" ref="S19:S33">R19*N19</f>
        <v>0</v>
      </c>
      <c r="T19" s="280">
        <v>0</v>
      </c>
      <c r="U19" s="281">
        <f aca="true" t="shared" si="22" ref="U19:U33">T19*N19</f>
        <v>0</v>
      </c>
      <c r="V19" s="140">
        <v>0</v>
      </c>
      <c r="W19" s="140">
        <f aca="true" t="shared" si="23" ref="W19:W33">V19*N19</f>
        <v>0</v>
      </c>
      <c r="X19" s="146"/>
      <c r="Y19" s="269">
        <f aca="true" t="shared" si="24" ref="Y19:Y31">M19-Z19</f>
        <v>0</v>
      </c>
      <c r="Z19" s="269">
        <f aca="true" t="shared" si="25" ref="Z19:Z31">P19+R19+T19+V19</f>
        <v>0</v>
      </c>
      <c r="AA19" s="149">
        <f aca="true" t="shared" si="26" ref="AA19:AA25">M19/4</f>
        <v>0</v>
      </c>
      <c r="AD19" s="149" t="e">
        <f aca="true" t="shared" si="27" ref="AD19:AD55">AC19/AB19</f>
        <v>#DIV/0!</v>
      </c>
      <c r="AE19" s="150">
        <f t="shared" si="11"/>
        <v>0</v>
      </c>
    </row>
    <row r="20" spans="1:31" ht="15">
      <c r="A20" s="140">
        <v>10949</v>
      </c>
      <c r="B20" s="221">
        <v>18</v>
      </c>
      <c r="C20" s="221"/>
      <c r="D20" s="187" t="s">
        <v>311</v>
      </c>
      <c r="E20" s="187"/>
      <c r="F20" s="225">
        <v>1</v>
      </c>
      <c r="G20" s="140" t="s">
        <v>1239</v>
      </c>
      <c r="H20" s="140">
        <v>18</v>
      </c>
      <c r="I20" s="140">
        <v>23</v>
      </c>
      <c r="J20" s="143">
        <f t="shared" si="8"/>
        <v>24</v>
      </c>
      <c r="K20" s="142">
        <v>25</v>
      </c>
      <c r="L20" s="271">
        <v>5</v>
      </c>
      <c r="M20" s="142">
        <f>K20-L20</f>
        <v>20</v>
      </c>
      <c r="N20" s="140">
        <v>23</v>
      </c>
      <c r="O20" s="159">
        <f t="shared" si="10"/>
        <v>460</v>
      </c>
      <c r="P20" s="140">
        <v>0</v>
      </c>
      <c r="Q20" s="151">
        <f t="shared" si="20"/>
        <v>0</v>
      </c>
      <c r="R20" s="225">
        <v>10</v>
      </c>
      <c r="S20" s="280">
        <f t="shared" si="21"/>
        <v>230</v>
      </c>
      <c r="T20" s="280">
        <v>0</v>
      </c>
      <c r="U20" s="281">
        <f t="shared" si="22"/>
        <v>0</v>
      </c>
      <c r="V20" s="140">
        <v>10</v>
      </c>
      <c r="W20" s="140">
        <f t="shared" si="23"/>
        <v>230</v>
      </c>
      <c r="X20" s="146"/>
      <c r="Y20" s="269">
        <f t="shared" si="24"/>
        <v>0</v>
      </c>
      <c r="Z20" s="269">
        <f t="shared" si="25"/>
        <v>20</v>
      </c>
      <c r="AA20" s="149">
        <f t="shared" si="26"/>
        <v>5</v>
      </c>
      <c r="AB20" s="149">
        <v>20</v>
      </c>
      <c r="AC20" s="149">
        <v>460</v>
      </c>
      <c r="AD20" s="149">
        <f t="shared" si="27"/>
        <v>23</v>
      </c>
      <c r="AE20" s="150">
        <f t="shared" si="11"/>
        <v>24</v>
      </c>
    </row>
    <row r="21" spans="1:31" ht="15">
      <c r="A21" s="140">
        <v>10949</v>
      </c>
      <c r="B21" s="225">
        <v>19</v>
      </c>
      <c r="C21" s="221"/>
      <c r="D21" s="187" t="s">
        <v>312</v>
      </c>
      <c r="E21" s="187"/>
      <c r="F21" s="225">
        <v>1</v>
      </c>
      <c r="G21" s="140" t="s">
        <v>1239</v>
      </c>
      <c r="H21" s="140">
        <v>41</v>
      </c>
      <c r="I21" s="140">
        <v>35</v>
      </c>
      <c r="J21" s="143">
        <f t="shared" si="8"/>
        <v>60</v>
      </c>
      <c r="K21" s="142">
        <v>65</v>
      </c>
      <c r="L21" s="271">
        <v>5</v>
      </c>
      <c r="M21" s="142">
        <f t="shared" si="9"/>
        <v>60</v>
      </c>
      <c r="N21" s="140">
        <v>23</v>
      </c>
      <c r="O21" s="159">
        <f t="shared" si="10"/>
        <v>1380</v>
      </c>
      <c r="P21" s="140">
        <v>20</v>
      </c>
      <c r="Q21" s="151">
        <f t="shared" si="20"/>
        <v>460</v>
      </c>
      <c r="R21" s="225">
        <v>10</v>
      </c>
      <c r="S21" s="280">
        <f t="shared" si="21"/>
        <v>230</v>
      </c>
      <c r="T21" s="280">
        <v>20</v>
      </c>
      <c r="U21" s="281">
        <f t="shared" si="22"/>
        <v>460</v>
      </c>
      <c r="V21" s="140">
        <v>10</v>
      </c>
      <c r="W21" s="140">
        <f t="shared" si="23"/>
        <v>230</v>
      </c>
      <c r="X21" s="146"/>
      <c r="Y21" s="269">
        <f t="shared" si="24"/>
        <v>0</v>
      </c>
      <c r="Z21" s="269">
        <f t="shared" si="25"/>
        <v>60</v>
      </c>
      <c r="AA21" s="149">
        <f t="shared" si="26"/>
        <v>15</v>
      </c>
      <c r="AB21" s="149">
        <v>50</v>
      </c>
      <c r="AC21" s="149">
        <v>1150</v>
      </c>
      <c r="AD21" s="149">
        <f t="shared" si="27"/>
        <v>23</v>
      </c>
      <c r="AE21" s="150">
        <f t="shared" si="11"/>
        <v>60</v>
      </c>
    </row>
    <row r="22" spans="1:31" ht="15">
      <c r="A22" s="140">
        <v>10949</v>
      </c>
      <c r="B22" s="221">
        <v>20</v>
      </c>
      <c r="C22" s="221"/>
      <c r="D22" s="187" t="s">
        <v>313</v>
      </c>
      <c r="E22" s="187"/>
      <c r="F22" s="225">
        <v>1</v>
      </c>
      <c r="G22" s="140" t="s">
        <v>1239</v>
      </c>
      <c r="H22" s="140">
        <v>1276</v>
      </c>
      <c r="I22" s="140">
        <v>1328</v>
      </c>
      <c r="J22" s="143">
        <f t="shared" si="8"/>
        <v>1440</v>
      </c>
      <c r="K22" s="142">
        <v>1500</v>
      </c>
      <c r="L22" s="271">
        <v>300</v>
      </c>
      <c r="M22" s="142">
        <f t="shared" si="9"/>
        <v>1200</v>
      </c>
      <c r="N22" s="140">
        <v>23</v>
      </c>
      <c r="O22" s="159">
        <f t="shared" si="10"/>
        <v>27600</v>
      </c>
      <c r="P22" s="140">
        <v>300</v>
      </c>
      <c r="Q22" s="151">
        <f t="shared" si="20"/>
        <v>6900</v>
      </c>
      <c r="R22" s="225">
        <v>300</v>
      </c>
      <c r="S22" s="280">
        <f t="shared" si="21"/>
        <v>6900</v>
      </c>
      <c r="T22" s="280">
        <v>300</v>
      </c>
      <c r="U22" s="281">
        <f t="shared" si="22"/>
        <v>6900</v>
      </c>
      <c r="V22" s="140">
        <v>300</v>
      </c>
      <c r="W22" s="140">
        <f t="shared" si="23"/>
        <v>6900</v>
      </c>
      <c r="X22" s="146"/>
      <c r="Y22" s="269">
        <f t="shared" si="24"/>
        <v>0</v>
      </c>
      <c r="Z22" s="269">
        <f t="shared" si="25"/>
        <v>1200</v>
      </c>
      <c r="AA22" s="149">
        <f t="shared" si="26"/>
        <v>300</v>
      </c>
      <c r="AB22" s="149">
        <v>1200</v>
      </c>
      <c r="AC22" s="149">
        <v>27600</v>
      </c>
      <c r="AD22" s="149">
        <f t="shared" si="27"/>
        <v>23</v>
      </c>
      <c r="AE22" s="150">
        <f t="shared" si="11"/>
        <v>1440</v>
      </c>
    </row>
    <row r="23" spans="1:31" ht="15">
      <c r="A23" s="140">
        <v>10949</v>
      </c>
      <c r="B23" s="225">
        <v>21</v>
      </c>
      <c r="C23" s="225"/>
      <c r="D23" s="187" t="s">
        <v>314</v>
      </c>
      <c r="E23" s="187"/>
      <c r="F23" s="225">
        <v>1</v>
      </c>
      <c r="G23" s="140" t="s">
        <v>1239</v>
      </c>
      <c r="H23" s="140">
        <v>74</v>
      </c>
      <c r="I23" s="140">
        <v>124</v>
      </c>
      <c r="J23" s="143">
        <f t="shared" si="8"/>
        <v>159.60000000000002</v>
      </c>
      <c r="K23" s="142">
        <v>170</v>
      </c>
      <c r="L23" s="271">
        <v>10</v>
      </c>
      <c r="M23" s="142">
        <f t="shared" si="9"/>
        <v>160</v>
      </c>
      <c r="N23" s="140">
        <v>23</v>
      </c>
      <c r="O23" s="159">
        <f t="shared" si="10"/>
        <v>3680</v>
      </c>
      <c r="P23" s="140">
        <v>40</v>
      </c>
      <c r="Q23" s="151">
        <f t="shared" si="20"/>
        <v>920</v>
      </c>
      <c r="R23" s="225">
        <v>40</v>
      </c>
      <c r="S23" s="280">
        <f t="shared" si="21"/>
        <v>920</v>
      </c>
      <c r="T23" s="280">
        <v>40</v>
      </c>
      <c r="U23" s="281">
        <f t="shared" si="22"/>
        <v>920</v>
      </c>
      <c r="V23" s="140">
        <v>40</v>
      </c>
      <c r="W23" s="140">
        <f t="shared" si="23"/>
        <v>920</v>
      </c>
      <c r="X23" s="146"/>
      <c r="Y23" s="269">
        <f t="shared" si="24"/>
        <v>0</v>
      </c>
      <c r="Z23" s="269">
        <f t="shared" si="25"/>
        <v>160</v>
      </c>
      <c r="AA23" s="149">
        <f t="shared" si="26"/>
        <v>40</v>
      </c>
      <c r="AB23" s="149">
        <v>133</v>
      </c>
      <c r="AC23" s="149">
        <v>2990</v>
      </c>
      <c r="AD23" s="149">
        <f t="shared" si="27"/>
        <v>22.481203007518797</v>
      </c>
      <c r="AE23" s="150">
        <f t="shared" si="11"/>
        <v>159.60000000000002</v>
      </c>
    </row>
    <row r="24" spans="1:31" ht="15">
      <c r="A24" s="140">
        <v>10949</v>
      </c>
      <c r="B24" s="221">
        <v>22</v>
      </c>
      <c r="C24" s="221"/>
      <c r="D24" s="187" t="s">
        <v>514</v>
      </c>
      <c r="E24" s="187"/>
      <c r="F24" s="225">
        <v>1</v>
      </c>
      <c r="G24" s="140" t="s">
        <v>1239</v>
      </c>
      <c r="H24" s="140">
        <v>10</v>
      </c>
      <c r="I24" s="140">
        <v>5</v>
      </c>
      <c r="J24" s="143">
        <f t="shared" si="8"/>
        <v>0</v>
      </c>
      <c r="K24" s="142">
        <v>5</v>
      </c>
      <c r="L24" s="271">
        <v>5</v>
      </c>
      <c r="M24" s="142">
        <f t="shared" si="9"/>
        <v>0</v>
      </c>
      <c r="N24" s="140">
        <v>23</v>
      </c>
      <c r="O24" s="159">
        <f t="shared" si="10"/>
        <v>0</v>
      </c>
      <c r="P24" s="225">
        <v>0</v>
      </c>
      <c r="Q24" s="151">
        <f t="shared" si="20"/>
        <v>0</v>
      </c>
      <c r="R24" s="225">
        <v>0</v>
      </c>
      <c r="S24" s="280">
        <f t="shared" si="21"/>
        <v>0</v>
      </c>
      <c r="T24" s="280">
        <v>0</v>
      </c>
      <c r="U24" s="281">
        <f t="shared" si="22"/>
        <v>0</v>
      </c>
      <c r="V24" s="140">
        <v>0</v>
      </c>
      <c r="W24" s="140">
        <f t="shared" si="23"/>
        <v>0</v>
      </c>
      <c r="X24" s="146"/>
      <c r="Y24" s="269">
        <f t="shared" si="24"/>
        <v>0</v>
      </c>
      <c r="Z24" s="269">
        <f t="shared" si="25"/>
        <v>0</v>
      </c>
      <c r="AA24" s="149">
        <f t="shared" si="26"/>
        <v>0</v>
      </c>
      <c r="AD24" s="149" t="e">
        <f t="shared" si="27"/>
        <v>#DIV/0!</v>
      </c>
      <c r="AE24" s="150">
        <f t="shared" si="11"/>
        <v>0</v>
      </c>
    </row>
    <row r="25" spans="1:31" ht="15">
      <c r="A25" s="140">
        <v>10949</v>
      </c>
      <c r="B25" s="225">
        <v>23</v>
      </c>
      <c r="C25" s="221"/>
      <c r="D25" s="187" t="s">
        <v>309</v>
      </c>
      <c r="E25" s="187"/>
      <c r="F25" s="225">
        <v>1</v>
      </c>
      <c r="G25" s="140" t="s">
        <v>1239</v>
      </c>
      <c r="H25" s="140">
        <v>17</v>
      </c>
      <c r="I25" s="140">
        <v>5</v>
      </c>
      <c r="J25" s="143">
        <f t="shared" si="8"/>
        <v>0</v>
      </c>
      <c r="K25" s="142">
        <v>10</v>
      </c>
      <c r="L25" s="271">
        <v>29</v>
      </c>
      <c r="M25" s="142">
        <v>0</v>
      </c>
      <c r="N25" s="140">
        <v>35</v>
      </c>
      <c r="O25" s="159">
        <f t="shared" si="10"/>
        <v>0</v>
      </c>
      <c r="P25" s="225">
        <v>0</v>
      </c>
      <c r="Q25" s="151">
        <f t="shared" si="20"/>
        <v>0</v>
      </c>
      <c r="R25" s="225">
        <v>0</v>
      </c>
      <c r="S25" s="280">
        <f t="shared" si="21"/>
        <v>0</v>
      </c>
      <c r="T25" s="280">
        <v>0</v>
      </c>
      <c r="U25" s="281">
        <f t="shared" si="22"/>
        <v>0</v>
      </c>
      <c r="V25" s="140">
        <v>0</v>
      </c>
      <c r="W25" s="140">
        <f t="shared" si="23"/>
        <v>0</v>
      </c>
      <c r="X25" s="146"/>
      <c r="Y25" s="269">
        <f t="shared" si="24"/>
        <v>0</v>
      </c>
      <c r="Z25" s="269">
        <f t="shared" si="25"/>
        <v>0</v>
      </c>
      <c r="AA25" s="149">
        <f t="shared" si="26"/>
        <v>0</v>
      </c>
      <c r="AD25" s="149" t="e">
        <f t="shared" si="27"/>
        <v>#DIV/0!</v>
      </c>
      <c r="AE25" s="150">
        <f t="shared" si="11"/>
        <v>0</v>
      </c>
    </row>
    <row r="26" spans="1:31" ht="15">
      <c r="A26" s="140">
        <v>10949</v>
      </c>
      <c r="B26" s="221">
        <v>24</v>
      </c>
      <c r="C26" s="221"/>
      <c r="D26" s="187" t="s">
        <v>1470</v>
      </c>
      <c r="E26" s="187"/>
      <c r="F26" s="225">
        <v>1</v>
      </c>
      <c r="G26" s="140" t="s">
        <v>1239</v>
      </c>
      <c r="H26" s="140">
        <v>10</v>
      </c>
      <c r="I26" s="143">
        <v>0</v>
      </c>
      <c r="J26" s="143">
        <f t="shared" si="8"/>
        <v>0</v>
      </c>
      <c r="K26" s="142">
        <v>0</v>
      </c>
      <c r="L26" s="271">
        <v>0</v>
      </c>
      <c r="M26" s="142">
        <f t="shared" si="9"/>
        <v>0</v>
      </c>
      <c r="N26" s="140">
        <v>120</v>
      </c>
      <c r="O26" s="159">
        <f t="shared" si="10"/>
        <v>0</v>
      </c>
      <c r="P26" s="225">
        <v>0</v>
      </c>
      <c r="Q26" s="151">
        <f t="shared" si="20"/>
        <v>0</v>
      </c>
      <c r="R26" s="225">
        <v>0</v>
      </c>
      <c r="S26" s="280">
        <f t="shared" si="21"/>
        <v>0</v>
      </c>
      <c r="T26" s="280">
        <v>0</v>
      </c>
      <c r="U26" s="281">
        <f t="shared" si="22"/>
        <v>0</v>
      </c>
      <c r="V26" s="140">
        <v>0</v>
      </c>
      <c r="W26" s="140">
        <f t="shared" si="23"/>
        <v>0</v>
      </c>
      <c r="X26" s="146"/>
      <c r="Y26" s="269">
        <f>M26-Z26</f>
        <v>0</v>
      </c>
      <c r="Z26" s="269">
        <f>P26+R26+T26+V26</f>
        <v>0</v>
      </c>
      <c r="AA26" s="149">
        <f aca="true" t="shared" si="28" ref="AA26:AA33">M26/4</f>
        <v>0</v>
      </c>
      <c r="AE26" s="150">
        <f t="shared" si="11"/>
        <v>0</v>
      </c>
    </row>
    <row r="27" spans="1:31" ht="15">
      <c r="A27" s="140">
        <v>10949</v>
      </c>
      <c r="B27" s="225">
        <v>25</v>
      </c>
      <c r="C27" s="221"/>
      <c r="D27" s="187" t="s">
        <v>315</v>
      </c>
      <c r="E27" s="187"/>
      <c r="F27" s="225">
        <v>1</v>
      </c>
      <c r="G27" s="140" t="s">
        <v>411</v>
      </c>
      <c r="H27" s="140">
        <v>9</v>
      </c>
      <c r="I27" s="143">
        <v>5</v>
      </c>
      <c r="J27" s="143">
        <f t="shared" si="8"/>
        <v>3.5999999999999996</v>
      </c>
      <c r="K27" s="142">
        <v>6</v>
      </c>
      <c r="L27" s="140">
        <v>6</v>
      </c>
      <c r="M27" s="142">
        <f t="shared" si="9"/>
        <v>0</v>
      </c>
      <c r="N27" s="167">
        <v>250</v>
      </c>
      <c r="O27" s="159">
        <f t="shared" si="10"/>
        <v>0</v>
      </c>
      <c r="P27" s="140">
        <v>0</v>
      </c>
      <c r="Q27" s="151">
        <f t="shared" si="20"/>
        <v>0</v>
      </c>
      <c r="R27" s="225">
        <v>0</v>
      </c>
      <c r="S27" s="280">
        <f t="shared" si="21"/>
        <v>0</v>
      </c>
      <c r="T27" s="280">
        <v>0</v>
      </c>
      <c r="U27" s="281">
        <f t="shared" si="22"/>
        <v>0</v>
      </c>
      <c r="V27" s="140">
        <v>0</v>
      </c>
      <c r="W27" s="140">
        <f t="shared" si="23"/>
        <v>0</v>
      </c>
      <c r="X27" s="146"/>
      <c r="Y27" s="269">
        <f>M27-Z27</f>
        <v>0</v>
      </c>
      <c r="Z27" s="269">
        <f>P27+R27+T27+V27</f>
        <v>0</v>
      </c>
      <c r="AA27" s="149">
        <f t="shared" si="28"/>
        <v>0</v>
      </c>
      <c r="AB27" s="149">
        <v>3</v>
      </c>
      <c r="AC27" s="149">
        <v>2250</v>
      </c>
      <c r="AD27" s="149">
        <f t="shared" si="27"/>
        <v>750</v>
      </c>
      <c r="AE27" s="150">
        <f t="shared" si="11"/>
        <v>3.5999999999999996</v>
      </c>
    </row>
    <row r="28" spans="1:31" ht="15">
      <c r="A28" s="140">
        <v>10949</v>
      </c>
      <c r="B28" s="221">
        <v>26</v>
      </c>
      <c r="C28" s="221"/>
      <c r="D28" s="187" t="s">
        <v>316</v>
      </c>
      <c r="E28" s="187"/>
      <c r="F28" s="225">
        <v>1</v>
      </c>
      <c r="G28" s="140" t="s">
        <v>411</v>
      </c>
      <c r="H28" s="140">
        <v>0</v>
      </c>
      <c r="I28" s="143">
        <v>0</v>
      </c>
      <c r="J28" s="143">
        <f t="shared" si="8"/>
        <v>0</v>
      </c>
      <c r="K28" s="142">
        <v>0</v>
      </c>
      <c r="L28" s="140">
        <v>2</v>
      </c>
      <c r="M28" s="142">
        <v>0</v>
      </c>
      <c r="N28" s="140">
        <v>950</v>
      </c>
      <c r="O28" s="159">
        <f t="shared" si="10"/>
        <v>0</v>
      </c>
      <c r="P28" s="140">
        <v>0</v>
      </c>
      <c r="Q28" s="151">
        <f t="shared" si="20"/>
        <v>0</v>
      </c>
      <c r="R28" s="225">
        <v>0</v>
      </c>
      <c r="S28" s="280">
        <f t="shared" si="21"/>
        <v>0</v>
      </c>
      <c r="T28" s="280">
        <v>0</v>
      </c>
      <c r="U28" s="281">
        <f t="shared" si="22"/>
        <v>0</v>
      </c>
      <c r="V28" s="140">
        <v>0</v>
      </c>
      <c r="W28" s="140">
        <f t="shared" si="23"/>
        <v>0</v>
      </c>
      <c r="X28" s="146"/>
      <c r="Y28" s="269">
        <f>M28-Z28</f>
        <v>0</v>
      </c>
      <c r="Z28" s="269">
        <f>P28+R28+T28+V28</f>
        <v>0</v>
      </c>
      <c r="AA28" s="149">
        <f t="shared" si="28"/>
        <v>0</v>
      </c>
      <c r="AD28" s="149" t="e">
        <f t="shared" si="27"/>
        <v>#DIV/0!</v>
      </c>
      <c r="AE28" s="150">
        <f t="shared" si="11"/>
        <v>0</v>
      </c>
    </row>
    <row r="29" spans="1:31" ht="15">
      <c r="A29" s="140">
        <v>10949</v>
      </c>
      <c r="B29" s="225">
        <v>27</v>
      </c>
      <c r="C29" s="221"/>
      <c r="D29" s="187" t="s">
        <v>1433</v>
      </c>
      <c r="E29" s="187"/>
      <c r="F29" s="225">
        <v>1</v>
      </c>
      <c r="G29" s="140" t="s">
        <v>411</v>
      </c>
      <c r="H29" s="140">
        <v>0</v>
      </c>
      <c r="I29" s="143">
        <v>0</v>
      </c>
      <c r="J29" s="143">
        <f t="shared" si="8"/>
        <v>0</v>
      </c>
      <c r="K29" s="142">
        <f>(H29+I29+J29)/3*1.05</f>
        <v>0</v>
      </c>
      <c r="L29" s="140">
        <v>0</v>
      </c>
      <c r="M29" s="142">
        <f t="shared" si="9"/>
        <v>0</v>
      </c>
      <c r="N29" s="140">
        <v>25</v>
      </c>
      <c r="O29" s="159">
        <f t="shared" si="10"/>
        <v>0</v>
      </c>
      <c r="P29" s="225">
        <v>0</v>
      </c>
      <c r="Q29" s="151">
        <f t="shared" si="20"/>
        <v>0</v>
      </c>
      <c r="R29" s="225">
        <v>0</v>
      </c>
      <c r="S29" s="280">
        <f t="shared" si="21"/>
        <v>0</v>
      </c>
      <c r="T29" s="280">
        <v>0</v>
      </c>
      <c r="U29" s="146">
        <f t="shared" si="22"/>
        <v>0</v>
      </c>
      <c r="V29" s="140">
        <v>0</v>
      </c>
      <c r="W29" s="140">
        <f t="shared" si="23"/>
        <v>0</v>
      </c>
      <c r="X29" s="146"/>
      <c r="Y29" s="269">
        <f>M29-Z29</f>
        <v>0</v>
      </c>
      <c r="Z29" s="269">
        <f>P29+R29+T29+V29</f>
        <v>0</v>
      </c>
      <c r="AA29" s="149">
        <f t="shared" si="28"/>
        <v>0</v>
      </c>
      <c r="AD29" s="149" t="e">
        <f t="shared" si="27"/>
        <v>#DIV/0!</v>
      </c>
      <c r="AE29" s="150">
        <f t="shared" si="11"/>
        <v>0</v>
      </c>
    </row>
    <row r="30" spans="1:31" ht="15">
      <c r="A30" s="140">
        <v>10949</v>
      </c>
      <c r="B30" s="221">
        <v>28</v>
      </c>
      <c r="C30" s="221"/>
      <c r="D30" s="187" t="s">
        <v>1434</v>
      </c>
      <c r="E30" s="187"/>
      <c r="F30" s="221">
        <v>1</v>
      </c>
      <c r="G30" s="140" t="s">
        <v>411</v>
      </c>
      <c r="H30" s="140">
        <v>0</v>
      </c>
      <c r="I30" s="143">
        <v>0</v>
      </c>
      <c r="J30" s="143">
        <f t="shared" si="8"/>
        <v>600</v>
      </c>
      <c r="K30" s="142">
        <v>1500</v>
      </c>
      <c r="L30" s="140">
        <v>0</v>
      </c>
      <c r="M30" s="142">
        <f t="shared" si="9"/>
        <v>1500</v>
      </c>
      <c r="N30" s="140">
        <v>25</v>
      </c>
      <c r="O30" s="159">
        <f t="shared" si="10"/>
        <v>37500</v>
      </c>
      <c r="P30" s="140">
        <v>400</v>
      </c>
      <c r="Q30" s="151">
        <f t="shared" si="20"/>
        <v>10000</v>
      </c>
      <c r="R30" s="225">
        <v>400</v>
      </c>
      <c r="S30" s="280">
        <f t="shared" si="21"/>
        <v>10000</v>
      </c>
      <c r="T30" s="280">
        <v>400</v>
      </c>
      <c r="U30" s="146">
        <f t="shared" si="22"/>
        <v>10000</v>
      </c>
      <c r="V30" s="140">
        <v>300</v>
      </c>
      <c r="W30" s="140">
        <f t="shared" si="23"/>
        <v>7500</v>
      </c>
      <c r="X30" s="146"/>
      <c r="Y30" s="269">
        <f>M30-Z30</f>
        <v>0</v>
      </c>
      <c r="Z30" s="269">
        <f>P30+R30+T30+V30</f>
        <v>1500</v>
      </c>
      <c r="AA30" s="149">
        <f t="shared" si="28"/>
        <v>375</v>
      </c>
      <c r="AB30" s="149">
        <v>500</v>
      </c>
      <c r="AC30" s="149">
        <v>2000</v>
      </c>
      <c r="AD30" s="149">
        <f t="shared" si="27"/>
        <v>4</v>
      </c>
      <c r="AE30" s="150">
        <f t="shared" si="11"/>
        <v>600</v>
      </c>
    </row>
    <row r="31" spans="1:31" ht="15">
      <c r="A31" s="140">
        <v>10949</v>
      </c>
      <c r="B31" s="225">
        <v>29</v>
      </c>
      <c r="C31" s="225"/>
      <c r="D31" s="187" t="s">
        <v>317</v>
      </c>
      <c r="E31" s="187"/>
      <c r="F31" s="225">
        <v>1</v>
      </c>
      <c r="G31" s="140" t="s">
        <v>1240</v>
      </c>
      <c r="H31" s="140">
        <v>4576</v>
      </c>
      <c r="I31" s="143">
        <v>4780</v>
      </c>
      <c r="J31" s="143">
        <f t="shared" si="8"/>
        <v>4800</v>
      </c>
      <c r="K31" s="142">
        <v>5000</v>
      </c>
      <c r="L31" s="140">
        <v>500</v>
      </c>
      <c r="M31" s="142">
        <f t="shared" si="9"/>
        <v>4500</v>
      </c>
      <c r="N31" s="140">
        <v>40</v>
      </c>
      <c r="O31" s="159">
        <f t="shared" si="10"/>
        <v>180000</v>
      </c>
      <c r="P31" s="140">
        <v>1200</v>
      </c>
      <c r="Q31" s="151">
        <f t="shared" si="20"/>
        <v>48000</v>
      </c>
      <c r="R31" s="225">
        <v>1100</v>
      </c>
      <c r="S31" s="280">
        <f t="shared" si="21"/>
        <v>44000</v>
      </c>
      <c r="T31" s="280">
        <v>1100</v>
      </c>
      <c r="U31" s="281">
        <f t="shared" si="22"/>
        <v>44000</v>
      </c>
      <c r="V31" s="140">
        <v>1100</v>
      </c>
      <c r="W31" s="140">
        <f t="shared" si="23"/>
        <v>44000</v>
      </c>
      <c r="X31" s="146"/>
      <c r="Y31" s="269">
        <f t="shared" si="24"/>
        <v>0</v>
      </c>
      <c r="Z31" s="269">
        <f t="shared" si="25"/>
        <v>4500</v>
      </c>
      <c r="AA31" s="149">
        <f t="shared" si="28"/>
        <v>1125</v>
      </c>
      <c r="AB31" s="149">
        <v>4000</v>
      </c>
      <c r="AC31" s="149">
        <v>147100</v>
      </c>
      <c r="AD31" s="149">
        <f t="shared" si="27"/>
        <v>36.775</v>
      </c>
      <c r="AE31" s="150">
        <f t="shared" si="11"/>
        <v>4800</v>
      </c>
    </row>
    <row r="32" spans="1:31" ht="15">
      <c r="A32" s="140">
        <v>10949</v>
      </c>
      <c r="B32" s="221">
        <v>30</v>
      </c>
      <c r="C32" s="225"/>
      <c r="D32" s="187" t="s">
        <v>1460</v>
      </c>
      <c r="E32" s="187"/>
      <c r="F32" s="225">
        <v>1</v>
      </c>
      <c r="G32" s="140" t="s">
        <v>1241</v>
      </c>
      <c r="H32" s="140">
        <v>7050</v>
      </c>
      <c r="I32" s="143">
        <v>7100</v>
      </c>
      <c r="J32" s="143">
        <f t="shared" si="8"/>
        <v>7200</v>
      </c>
      <c r="K32" s="142">
        <v>7500</v>
      </c>
      <c r="L32" s="140">
        <v>500</v>
      </c>
      <c r="M32" s="142">
        <f t="shared" si="9"/>
        <v>7000</v>
      </c>
      <c r="N32" s="140">
        <v>5.5</v>
      </c>
      <c r="O32" s="159">
        <f t="shared" si="10"/>
        <v>38500</v>
      </c>
      <c r="P32" s="140">
        <v>1800</v>
      </c>
      <c r="Q32" s="151">
        <f t="shared" si="20"/>
        <v>9900</v>
      </c>
      <c r="R32" s="225">
        <v>1700</v>
      </c>
      <c r="S32" s="280">
        <f t="shared" si="21"/>
        <v>9350</v>
      </c>
      <c r="T32" s="280">
        <v>1800</v>
      </c>
      <c r="U32" s="281">
        <f t="shared" si="22"/>
        <v>9900</v>
      </c>
      <c r="V32" s="140">
        <v>1700</v>
      </c>
      <c r="W32" s="140">
        <f t="shared" si="23"/>
        <v>9350</v>
      </c>
      <c r="X32" s="146"/>
      <c r="Y32" s="269">
        <f>M32-Z32</f>
        <v>0</v>
      </c>
      <c r="Z32" s="269">
        <f>P32+R32+T32+V32</f>
        <v>7000</v>
      </c>
      <c r="AA32" s="149">
        <f t="shared" si="28"/>
        <v>1750</v>
      </c>
      <c r="AB32" s="149">
        <v>6000</v>
      </c>
      <c r="AC32" s="149">
        <v>31050</v>
      </c>
      <c r="AD32" s="149">
        <f t="shared" si="27"/>
        <v>5.175</v>
      </c>
      <c r="AE32" s="150">
        <f t="shared" si="11"/>
        <v>7200</v>
      </c>
    </row>
    <row r="33" spans="1:31" ht="15">
      <c r="A33" s="140">
        <v>10949</v>
      </c>
      <c r="B33" s="225">
        <v>31</v>
      </c>
      <c r="C33" s="221"/>
      <c r="D33" s="187" t="s">
        <v>1423</v>
      </c>
      <c r="E33" s="187"/>
      <c r="F33" s="221">
        <v>1</v>
      </c>
      <c r="G33" s="140" t="s">
        <v>409</v>
      </c>
      <c r="H33" s="140">
        <v>4800</v>
      </c>
      <c r="I33" s="142">
        <v>5300</v>
      </c>
      <c r="J33" s="143">
        <f t="shared" si="8"/>
        <v>6480</v>
      </c>
      <c r="K33" s="142">
        <v>6500</v>
      </c>
      <c r="L33" s="140">
        <v>0</v>
      </c>
      <c r="M33" s="142">
        <f t="shared" si="9"/>
        <v>6500</v>
      </c>
      <c r="N33" s="140">
        <v>3.75</v>
      </c>
      <c r="O33" s="159">
        <f t="shared" si="10"/>
        <v>24375</v>
      </c>
      <c r="P33" s="140">
        <v>1700</v>
      </c>
      <c r="Q33" s="151">
        <f t="shared" si="20"/>
        <v>6375</v>
      </c>
      <c r="R33" s="225">
        <v>1600</v>
      </c>
      <c r="S33" s="280">
        <f t="shared" si="21"/>
        <v>6000</v>
      </c>
      <c r="T33" s="146">
        <v>1600</v>
      </c>
      <c r="U33" s="146">
        <f t="shared" si="22"/>
        <v>6000</v>
      </c>
      <c r="V33" s="140">
        <v>1600</v>
      </c>
      <c r="W33" s="140">
        <f t="shared" si="23"/>
        <v>6000</v>
      </c>
      <c r="X33" s="146"/>
      <c r="Y33" s="269">
        <f>M33-Z33</f>
        <v>0</v>
      </c>
      <c r="Z33" s="269">
        <f>P33+R33+T33+V33</f>
        <v>6500</v>
      </c>
      <c r="AA33" s="149">
        <f t="shared" si="28"/>
        <v>1625</v>
      </c>
      <c r="AB33" s="149">
        <v>5400</v>
      </c>
      <c r="AC33" s="149">
        <v>19440</v>
      </c>
      <c r="AD33" s="149">
        <f t="shared" si="27"/>
        <v>3.6</v>
      </c>
      <c r="AE33" s="150">
        <f t="shared" si="11"/>
        <v>6480</v>
      </c>
    </row>
    <row r="34" spans="1:31" ht="15">
      <c r="A34" s="140">
        <v>10949</v>
      </c>
      <c r="B34" s="221">
        <v>32</v>
      </c>
      <c r="C34" s="221"/>
      <c r="D34" s="270" t="s">
        <v>1571</v>
      </c>
      <c r="E34" s="270"/>
      <c r="F34" s="225">
        <v>1</v>
      </c>
      <c r="G34" s="140" t="s">
        <v>1572</v>
      </c>
      <c r="H34" s="140">
        <v>0</v>
      </c>
      <c r="I34" s="143">
        <v>0</v>
      </c>
      <c r="J34" s="143">
        <f>AE34</f>
        <v>144</v>
      </c>
      <c r="K34" s="142">
        <v>500</v>
      </c>
      <c r="L34" s="140">
        <v>0</v>
      </c>
      <c r="M34" s="142">
        <f>K34-L34</f>
        <v>500</v>
      </c>
      <c r="N34" s="140">
        <v>35</v>
      </c>
      <c r="O34" s="159">
        <f t="shared" si="10"/>
        <v>17500</v>
      </c>
      <c r="P34" s="140">
        <v>250</v>
      </c>
      <c r="Q34" s="151">
        <f>P34*N34</f>
        <v>8750</v>
      </c>
      <c r="R34" s="140">
        <v>0</v>
      </c>
      <c r="S34" s="280">
        <f>R34*N34</f>
        <v>0</v>
      </c>
      <c r="T34" s="140">
        <v>250</v>
      </c>
      <c r="U34" s="281">
        <f>T34*N34</f>
        <v>8750</v>
      </c>
      <c r="V34" s="140">
        <v>0</v>
      </c>
      <c r="W34" s="140">
        <f>V34*N34</f>
        <v>0</v>
      </c>
      <c r="X34" s="146"/>
      <c r="Y34" s="269">
        <f>M34-Z34</f>
        <v>0</v>
      </c>
      <c r="Z34" s="269">
        <f>P34+R34+T34+V34</f>
        <v>500</v>
      </c>
      <c r="AA34" s="149">
        <f>M34/4</f>
        <v>125</v>
      </c>
      <c r="AB34" s="149">
        <v>120</v>
      </c>
      <c r="AC34" s="149">
        <v>4200</v>
      </c>
      <c r="AD34" s="149">
        <f>AC34/AB34</f>
        <v>35</v>
      </c>
      <c r="AE34" s="150">
        <f>AB34/10*12</f>
        <v>144</v>
      </c>
    </row>
    <row r="35" spans="1:33" ht="15">
      <c r="A35" s="130" t="s">
        <v>1199</v>
      </c>
      <c r="B35" s="237" t="s">
        <v>2</v>
      </c>
      <c r="C35" s="134" t="s">
        <v>1213</v>
      </c>
      <c r="D35" s="236" t="s">
        <v>1293</v>
      </c>
      <c r="E35" s="236" t="s">
        <v>1202</v>
      </c>
      <c r="F35" s="237" t="s">
        <v>1579</v>
      </c>
      <c r="G35" s="236" t="s">
        <v>1203</v>
      </c>
      <c r="H35" s="273"/>
      <c r="I35" s="274" t="s">
        <v>1205</v>
      </c>
      <c r="J35" s="235"/>
      <c r="K35" s="236" t="s">
        <v>0</v>
      </c>
      <c r="L35" s="236" t="s">
        <v>1214</v>
      </c>
      <c r="M35" s="236" t="s">
        <v>0</v>
      </c>
      <c r="N35" s="237" t="s">
        <v>1390</v>
      </c>
      <c r="O35" s="275" t="s">
        <v>1288</v>
      </c>
      <c r="P35" s="255" t="s">
        <v>1289</v>
      </c>
      <c r="Q35" s="235"/>
      <c r="R35" s="255" t="s">
        <v>1290</v>
      </c>
      <c r="S35" s="256"/>
      <c r="T35" s="255" t="s">
        <v>1291</v>
      </c>
      <c r="U35" s="235"/>
      <c r="V35" s="255" t="s">
        <v>1292</v>
      </c>
      <c r="W35" s="256"/>
      <c r="X35" s="203" t="s">
        <v>608</v>
      </c>
      <c r="AA35" s="149" t="s">
        <v>1318</v>
      </c>
      <c r="AB35" s="149" t="s">
        <v>1297</v>
      </c>
      <c r="AC35" s="149" t="s">
        <v>6</v>
      </c>
      <c r="AD35" s="149" t="s">
        <v>1</v>
      </c>
      <c r="AE35" s="150" t="s">
        <v>1303</v>
      </c>
      <c r="AF35" s="149" t="s">
        <v>4</v>
      </c>
      <c r="AG35" s="149" t="s">
        <v>1304</v>
      </c>
    </row>
    <row r="36" spans="1:29" ht="15">
      <c r="A36" s="276"/>
      <c r="B36" s="277"/>
      <c r="C36" s="278"/>
      <c r="D36" s="278"/>
      <c r="E36" s="252"/>
      <c r="F36" s="241" t="s">
        <v>1204</v>
      </c>
      <c r="G36" s="252" t="s">
        <v>1204</v>
      </c>
      <c r="H36" s="136">
        <v>2562</v>
      </c>
      <c r="I36" s="136">
        <v>2563</v>
      </c>
      <c r="J36" s="136">
        <v>2564</v>
      </c>
      <c r="K36" s="136" t="s">
        <v>1537</v>
      </c>
      <c r="L36" s="136" t="s">
        <v>4</v>
      </c>
      <c r="M36" s="136" t="s">
        <v>1538</v>
      </c>
      <c r="N36" s="277" t="s">
        <v>1286</v>
      </c>
      <c r="O36" s="279"/>
      <c r="P36" s="258" t="s">
        <v>5</v>
      </c>
      <c r="Q36" s="241" t="s">
        <v>1208</v>
      </c>
      <c r="R36" s="241" t="s">
        <v>5</v>
      </c>
      <c r="S36" s="259" t="s">
        <v>1208</v>
      </c>
      <c r="T36" s="277" t="s">
        <v>5</v>
      </c>
      <c r="U36" s="277" t="s">
        <v>1208</v>
      </c>
      <c r="V36" s="277" t="s">
        <v>5</v>
      </c>
      <c r="W36" s="280" t="s">
        <v>1208</v>
      </c>
      <c r="X36" s="276"/>
      <c r="AB36" s="149" t="s">
        <v>1494</v>
      </c>
      <c r="AC36" s="149" t="s">
        <v>1207</v>
      </c>
    </row>
    <row r="37" spans="1:31" ht="15">
      <c r="A37" s="140">
        <v>10949</v>
      </c>
      <c r="B37" s="225">
        <v>33</v>
      </c>
      <c r="C37" s="221"/>
      <c r="D37" s="187" t="s">
        <v>543</v>
      </c>
      <c r="E37" s="187"/>
      <c r="F37" s="225">
        <v>1</v>
      </c>
      <c r="G37" s="140" t="s">
        <v>1241</v>
      </c>
      <c r="H37" s="140">
        <v>0</v>
      </c>
      <c r="I37" s="143">
        <v>8</v>
      </c>
      <c r="J37" s="143">
        <f t="shared" si="8"/>
        <v>0</v>
      </c>
      <c r="K37" s="142">
        <v>0</v>
      </c>
      <c r="L37" s="140">
        <v>0</v>
      </c>
      <c r="M37" s="142">
        <f t="shared" si="9"/>
        <v>0</v>
      </c>
      <c r="N37" s="140">
        <v>300</v>
      </c>
      <c r="O37" s="159">
        <f t="shared" si="10"/>
        <v>0</v>
      </c>
      <c r="P37" s="140">
        <v>0</v>
      </c>
      <c r="Q37" s="151">
        <f aca="true" t="shared" si="29" ref="Q37:Q67">P37*N37</f>
        <v>0</v>
      </c>
      <c r="R37" s="225">
        <v>0</v>
      </c>
      <c r="S37" s="280">
        <f aca="true" t="shared" si="30" ref="S37:S67">R37*N37</f>
        <v>0</v>
      </c>
      <c r="T37" s="280">
        <v>0</v>
      </c>
      <c r="U37" s="281">
        <f aca="true" t="shared" si="31" ref="U37:U67">T37*N37</f>
        <v>0</v>
      </c>
      <c r="V37" s="140">
        <v>0</v>
      </c>
      <c r="W37" s="140">
        <f aca="true" t="shared" si="32" ref="W37:W67">V37*N37</f>
        <v>0</v>
      </c>
      <c r="X37" s="146"/>
      <c r="Y37" s="269">
        <f aca="true" t="shared" si="33" ref="Y37:Y67">M37-Z37</f>
        <v>0</v>
      </c>
      <c r="Z37" s="269">
        <f aca="true" t="shared" si="34" ref="Z37:Z67">P37+R37+T37+V37</f>
        <v>0</v>
      </c>
      <c r="AA37" s="149">
        <f aca="true" t="shared" si="35" ref="AA37:AA67">M37/4</f>
        <v>0</v>
      </c>
      <c r="AD37" s="149" t="e">
        <f t="shared" si="27"/>
        <v>#DIV/0!</v>
      </c>
      <c r="AE37" s="150">
        <f t="shared" si="11"/>
        <v>0</v>
      </c>
    </row>
    <row r="38" spans="1:31" ht="15">
      <c r="A38" s="140">
        <v>10949</v>
      </c>
      <c r="B38" s="221">
        <v>34</v>
      </c>
      <c r="C38" s="221"/>
      <c r="D38" s="187" t="s">
        <v>320</v>
      </c>
      <c r="E38" s="187"/>
      <c r="F38" s="225">
        <v>1</v>
      </c>
      <c r="G38" s="140" t="s">
        <v>1240</v>
      </c>
      <c r="H38" s="140">
        <v>111</v>
      </c>
      <c r="I38" s="143">
        <v>94</v>
      </c>
      <c r="J38" s="143">
        <f t="shared" si="8"/>
        <v>72</v>
      </c>
      <c r="K38" s="142">
        <v>100</v>
      </c>
      <c r="L38" s="140">
        <v>0</v>
      </c>
      <c r="M38" s="142">
        <f t="shared" si="9"/>
        <v>100</v>
      </c>
      <c r="N38" s="140">
        <v>190</v>
      </c>
      <c r="O38" s="159">
        <f t="shared" si="10"/>
        <v>19000</v>
      </c>
      <c r="P38" s="140">
        <v>30</v>
      </c>
      <c r="Q38" s="151">
        <f t="shared" si="29"/>
        <v>5700</v>
      </c>
      <c r="R38" s="225">
        <v>20</v>
      </c>
      <c r="S38" s="280">
        <f t="shared" si="30"/>
        <v>3800</v>
      </c>
      <c r="T38" s="280">
        <v>30</v>
      </c>
      <c r="U38" s="281">
        <f t="shared" si="31"/>
        <v>5700</v>
      </c>
      <c r="V38" s="140">
        <v>20</v>
      </c>
      <c r="W38" s="140">
        <f t="shared" si="32"/>
        <v>3800</v>
      </c>
      <c r="X38" s="146"/>
      <c r="Y38" s="269">
        <f t="shared" si="33"/>
        <v>0</v>
      </c>
      <c r="Z38" s="269">
        <f t="shared" si="34"/>
        <v>100</v>
      </c>
      <c r="AA38" s="149">
        <f t="shared" si="35"/>
        <v>25</v>
      </c>
      <c r="AB38" s="149">
        <v>60</v>
      </c>
      <c r="AC38" s="149">
        <v>10700</v>
      </c>
      <c r="AD38" s="149">
        <f t="shared" si="27"/>
        <v>178.33333333333334</v>
      </c>
      <c r="AE38" s="150">
        <f t="shared" si="11"/>
        <v>72</v>
      </c>
    </row>
    <row r="39" spans="1:31" ht="15">
      <c r="A39" s="140">
        <v>10949</v>
      </c>
      <c r="B39" s="225">
        <v>35</v>
      </c>
      <c r="C39" s="221"/>
      <c r="D39" s="187" t="s">
        <v>321</v>
      </c>
      <c r="E39" s="187"/>
      <c r="F39" s="225">
        <v>1</v>
      </c>
      <c r="G39" s="140" t="s">
        <v>1240</v>
      </c>
      <c r="H39" s="140">
        <v>924</v>
      </c>
      <c r="I39" s="143">
        <v>904</v>
      </c>
      <c r="J39" s="143">
        <f t="shared" si="8"/>
        <v>976.8000000000001</v>
      </c>
      <c r="K39" s="142">
        <v>1000</v>
      </c>
      <c r="L39" s="140">
        <v>200</v>
      </c>
      <c r="M39" s="142">
        <f t="shared" si="9"/>
        <v>800</v>
      </c>
      <c r="N39" s="140">
        <v>190</v>
      </c>
      <c r="O39" s="159">
        <f t="shared" si="10"/>
        <v>152000</v>
      </c>
      <c r="P39" s="140">
        <v>200</v>
      </c>
      <c r="Q39" s="151">
        <f t="shared" si="29"/>
        <v>38000</v>
      </c>
      <c r="R39" s="225">
        <v>200</v>
      </c>
      <c r="S39" s="280">
        <f t="shared" si="30"/>
        <v>38000</v>
      </c>
      <c r="T39" s="280">
        <v>200</v>
      </c>
      <c r="U39" s="281">
        <f t="shared" si="31"/>
        <v>38000</v>
      </c>
      <c r="V39" s="140">
        <v>200</v>
      </c>
      <c r="W39" s="140">
        <f t="shared" si="32"/>
        <v>38000</v>
      </c>
      <c r="X39" s="146"/>
      <c r="Y39" s="269">
        <f t="shared" si="33"/>
        <v>0</v>
      </c>
      <c r="Z39" s="269">
        <f t="shared" si="34"/>
        <v>800</v>
      </c>
      <c r="AA39" s="149">
        <f t="shared" si="35"/>
        <v>200</v>
      </c>
      <c r="AB39" s="149">
        <v>814</v>
      </c>
      <c r="AC39" s="149">
        <v>149400</v>
      </c>
      <c r="AD39" s="149">
        <f t="shared" si="27"/>
        <v>183.53808353808353</v>
      </c>
      <c r="AE39" s="150">
        <f t="shared" si="11"/>
        <v>976.8000000000001</v>
      </c>
    </row>
    <row r="40" spans="1:31" ht="15">
      <c r="A40" s="140">
        <v>10949</v>
      </c>
      <c r="B40" s="221">
        <v>36</v>
      </c>
      <c r="C40" s="221"/>
      <c r="D40" s="187" t="s">
        <v>322</v>
      </c>
      <c r="E40" s="187"/>
      <c r="F40" s="225">
        <v>1</v>
      </c>
      <c r="G40" s="140" t="s">
        <v>1240</v>
      </c>
      <c r="H40" s="140">
        <v>1165</v>
      </c>
      <c r="I40" s="143">
        <v>1351</v>
      </c>
      <c r="J40" s="143">
        <f t="shared" si="8"/>
        <v>1573.1999999999998</v>
      </c>
      <c r="K40" s="142">
        <v>1600</v>
      </c>
      <c r="L40" s="140">
        <v>200</v>
      </c>
      <c r="M40" s="142">
        <f t="shared" si="9"/>
        <v>1400</v>
      </c>
      <c r="N40" s="140">
        <v>190</v>
      </c>
      <c r="O40" s="159">
        <f t="shared" si="10"/>
        <v>266000</v>
      </c>
      <c r="P40" s="140">
        <v>350</v>
      </c>
      <c r="Q40" s="151">
        <f t="shared" si="29"/>
        <v>66500</v>
      </c>
      <c r="R40" s="225">
        <v>350</v>
      </c>
      <c r="S40" s="280">
        <f t="shared" si="30"/>
        <v>66500</v>
      </c>
      <c r="T40" s="280">
        <v>350</v>
      </c>
      <c r="U40" s="281">
        <f t="shared" si="31"/>
        <v>66500</v>
      </c>
      <c r="V40" s="140">
        <v>350</v>
      </c>
      <c r="W40" s="140">
        <f t="shared" si="32"/>
        <v>66500</v>
      </c>
      <c r="X40" s="146"/>
      <c r="Y40" s="269">
        <f t="shared" si="33"/>
        <v>0</v>
      </c>
      <c r="Z40" s="269">
        <f t="shared" si="34"/>
        <v>1400</v>
      </c>
      <c r="AA40" s="149">
        <f t="shared" si="35"/>
        <v>350</v>
      </c>
      <c r="AB40" s="149">
        <v>1311</v>
      </c>
      <c r="AC40" s="149">
        <v>233790</v>
      </c>
      <c r="AD40" s="149">
        <f t="shared" si="27"/>
        <v>178.32951945080092</v>
      </c>
      <c r="AE40" s="150">
        <f t="shared" si="11"/>
        <v>1573.1999999999998</v>
      </c>
    </row>
    <row r="41" spans="1:31" ht="15">
      <c r="A41" s="140">
        <v>10949</v>
      </c>
      <c r="B41" s="225">
        <v>37</v>
      </c>
      <c r="C41" s="221"/>
      <c r="D41" s="187" t="s">
        <v>426</v>
      </c>
      <c r="E41" s="187"/>
      <c r="F41" s="225">
        <v>1</v>
      </c>
      <c r="G41" s="140" t="s">
        <v>1240</v>
      </c>
      <c r="H41" s="140">
        <v>533</v>
      </c>
      <c r="I41" s="143">
        <v>442</v>
      </c>
      <c r="J41" s="143">
        <f t="shared" si="8"/>
        <v>486</v>
      </c>
      <c r="K41" s="142">
        <v>500</v>
      </c>
      <c r="L41" s="140">
        <v>40</v>
      </c>
      <c r="M41" s="142">
        <f t="shared" si="9"/>
        <v>460</v>
      </c>
      <c r="N41" s="140">
        <v>190</v>
      </c>
      <c r="O41" s="159">
        <f t="shared" si="10"/>
        <v>87400</v>
      </c>
      <c r="P41" s="140">
        <v>120</v>
      </c>
      <c r="Q41" s="151">
        <f t="shared" si="29"/>
        <v>22800</v>
      </c>
      <c r="R41" s="225">
        <v>110</v>
      </c>
      <c r="S41" s="280">
        <f t="shared" si="30"/>
        <v>20900</v>
      </c>
      <c r="T41" s="280">
        <v>120</v>
      </c>
      <c r="U41" s="281">
        <f t="shared" si="31"/>
        <v>22800</v>
      </c>
      <c r="V41" s="140">
        <v>110</v>
      </c>
      <c r="W41" s="140">
        <f t="shared" si="32"/>
        <v>20900</v>
      </c>
      <c r="X41" s="146"/>
      <c r="Y41" s="269">
        <f t="shared" si="33"/>
        <v>0</v>
      </c>
      <c r="Z41" s="269">
        <f t="shared" si="34"/>
        <v>460</v>
      </c>
      <c r="AA41" s="149">
        <f t="shared" si="35"/>
        <v>115</v>
      </c>
      <c r="AB41" s="149">
        <v>405</v>
      </c>
      <c r="AC41" s="149">
        <v>60880</v>
      </c>
      <c r="AD41" s="149">
        <f t="shared" si="27"/>
        <v>150.320987654321</v>
      </c>
      <c r="AE41" s="150">
        <f t="shared" si="11"/>
        <v>486</v>
      </c>
    </row>
    <row r="42" spans="1:31" ht="15">
      <c r="A42" s="140">
        <v>10949</v>
      </c>
      <c r="B42" s="221">
        <v>38</v>
      </c>
      <c r="C42" s="225"/>
      <c r="D42" s="187" t="s">
        <v>323</v>
      </c>
      <c r="E42" s="187"/>
      <c r="F42" s="225">
        <v>1</v>
      </c>
      <c r="G42" s="140" t="s">
        <v>1242</v>
      </c>
      <c r="H42" s="140">
        <v>4530</v>
      </c>
      <c r="I42" s="143">
        <v>3923</v>
      </c>
      <c r="J42" s="143">
        <f t="shared" si="8"/>
        <v>2640</v>
      </c>
      <c r="K42" s="142">
        <v>3000</v>
      </c>
      <c r="L42" s="140">
        <v>400</v>
      </c>
      <c r="M42" s="142">
        <f t="shared" si="9"/>
        <v>2600</v>
      </c>
      <c r="N42" s="140">
        <v>17.2</v>
      </c>
      <c r="O42" s="159">
        <f t="shared" si="10"/>
        <v>44720</v>
      </c>
      <c r="P42" s="140">
        <v>650</v>
      </c>
      <c r="Q42" s="151">
        <f t="shared" si="29"/>
        <v>11180</v>
      </c>
      <c r="R42" s="225">
        <v>650</v>
      </c>
      <c r="S42" s="280">
        <f t="shared" si="30"/>
        <v>11180</v>
      </c>
      <c r="T42" s="280">
        <v>650</v>
      </c>
      <c r="U42" s="281">
        <f t="shared" si="31"/>
        <v>11180</v>
      </c>
      <c r="V42" s="281">
        <v>650</v>
      </c>
      <c r="W42" s="140">
        <f t="shared" si="32"/>
        <v>11180</v>
      </c>
      <c r="X42" s="146"/>
      <c r="Y42" s="269">
        <f t="shared" si="33"/>
        <v>0</v>
      </c>
      <c r="Z42" s="269">
        <f t="shared" si="34"/>
        <v>2600</v>
      </c>
      <c r="AA42" s="149">
        <f t="shared" si="35"/>
        <v>650</v>
      </c>
      <c r="AB42" s="149">
        <f>44*50</f>
        <v>2200</v>
      </c>
      <c r="AC42" s="149">
        <v>41800</v>
      </c>
      <c r="AD42" s="149">
        <f t="shared" si="27"/>
        <v>19</v>
      </c>
      <c r="AE42" s="150">
        <f t="shared" si="11"/>
        <v>2640</v>
      </c>
    </row>
    <row r="43" spans="1:31" ht="15">
      <c r="A43" s="140">
        <v>10949</v>
      </c>
      <c r="B43" s="225">
        <v>39</v>
      </c>
      <c r="C43" s="221"/>
      <c r="D43" s="187" t="s">
        <v>427</v>
      </c>
      <c r="E43" s="187"/>
      <c r="F43" s="225">
        <v>1</v>
      </c>
      <c r="G43" s="140" t="s">
        <v>1242</v>
      </c>
      <c r="H43" s="140">
        <v>3965</v>
      </c>
      <c r="I43" s="143">
        <v>3320</v>
      </c>
      <c r="J43" s="143">
        <f t="shared" si="8"/>
        <v>2760</v>
      </c>
      <c r="K43" s="142">
        <v>3200</v>
      </c>
      <c r="L43" s="140">
        <v>0</v>
      </c>
      <c r="M43" s="142">
        <f t="shared" si="9"/>
        <v>3200</v>
      </c>
      <c r="N43" s="140">
        <v>17.2</v>
      </c>
      <c r="O43" s="159">
        <f t="shared" si="10"/>
        <v>55040</v>
      </c>
      <c r="P43" s="140">
        <v>800</v>
      </c>
      <c r="Q43" s="151">
        <f t="shared" si="29"/>
        <v>13760</v>
      </c>
      <c r="R43" s="225">
        <v>800</v>
      </c>
      <c r="S43" s="280">
        <f t="shared" si="30"/>
        <v>13760</v>
      </c>
      <c r="T43" s="280">
        <v>800</v>
      </c>
      <c r="U43" s="281">
        <f t="shared" si="31"/>
        <v>13760</v>
      </c>
      <c r="V43" s="140">
        <v>800</v>
      </c>
      <c r="W43" s="140">
        <f t="shared" si="32"/>
        <v>13760</v>
      </c>
      <c r="X43" s="146"/>
      <c r="Y43" s="269">
        <f t="shared" si="33"/>
        <v>0</v>
      </c>
      <c r="Z43" s="269">
        <f t="shared" si="34"/>
        <v>3200</v>
      </c>
      <c r="AA43" s="149">
        <f t="shared" si="35"/>
        <v>800</v>
      </c>
      <c r="AB43" s="149">
        <v>2300</v>
      </c>
      <c r="AC43" s="149">
        <v>37800</v>
      </c>
      <c r="AD43" s="149">
        <f t="shared" si="27"/>
        <v>16.434782608695652</v>
      </c>
      <c r="AE43" s="150">
        <f t="shared" si="11"/>
        <v>2760</v>
      </c>
    </row>
    <row r="44" spans="1:31" ht="15">
      <c r="A44" s="140">
        <v>10949</v>
      </c>
      <c r="B44" s="221">
        <v>40</v>
      </c>
      <c r="C44" s="221"/>
      <c r="D44" s="187" t="s">
        <v>428</v>
      </c>
      <c r="E44" s="187"/>
      <c r="F44" s="225">
        <v>1</v>
      </c>
      <c r="G44" s="140" t="s">
        <v>1242</v>
      </c>
      <c r="H44" s="140">
        <v>900</v>
      </c>
      <c r="I44" s="143">
        <v>580</v>
      </c>
      <c r="J44" s="143">
        <f t="shared" si="8"/>
        <v>720</v>
      </c>
      <c r="K44" s="142">
        <v>770</v>
      </c>
      <c r="L44" s="140">
        <v>70</v>
      </c>
      <c r="M44" s="142">
        <f t="shared" si="9"/>
        <v>700</v>
      </c>
      <c r="N44" s="140">
        <v>17.2</v>
      </c>
      <c r="O44" s="159">
        <f t="shared" si="10"/>
        <v>12040</v>
      </c>
      <c r="P44" s="140">
        <v>200</v>
      </c>
      <c r="Q44" s="151">
        <f t="shared" si="29"/>
        <v>3440</v>
      </c>
      <c r="R44" s="225">
        <v>200</v>
      </c>
      <c r="S44" s="280">
        <f t="shared" si="30"/>
        <v>3440</v>
      </c>
      <c r="T44" s="280">
        <v>200</v>
      </c>
      <c r="U44" s="281">
        <f t="shared" si="31"/>
        <v>3440</v>
      </c>
      <c r="V44" s="281">
        <v>100</v>
      </c>
      <c r="W44" s="140">
        <f t="shared" si="32"/>
        <v>1720</v>
      </c>
      <c r="X44" s="146"/>
      <c r="Y44" s="269">
        <f t="shared" si="33"/>
        <v>0</v>
      </c>
      <c r="Z44" s="269">
        <f t="shared" si="34"/>
        <v>700</v>
      </c>
      <c r="AA44" s="149">
        <f t="shared" si="35"/>
        <v>175</v>
      </c>
      <c r="AB44" s="149">
        <f>12*50</f>
        <v>600</v>
      </c>
      <c r="AC44" s="149">
        <v>11910</v>
      </c>
      <c r="AD44" s="149">
        <f t="shared" si="27"/>
        <v>19.85</v>
      </c>
      <c r="AE44" s="150">
        <f t="shared" si="11"/>
        <v>720</v>
      </c>
    </row>
    <row r="45" spans="1:31" ht="15">
      <c r="A45" s="140">
        <v>10949</v>
      </c>
      <c r="B45" s="225">
        <v>41</v>
      </c>
      <c r="C45" s="221"/>
      <c r="D45" s="187" t="s">
        <v>456</v>
      </c>
      <c r="E45" s="187"/>
      <c r="F45" s="225">
        <v>1</v>
      </c>
      <c r="G45" s="140" t="s">
        <v>1242</v>
      </c>
      <c r="H45" s="140">
        <v>350</v>
      </c>
      <c r="I45" s="143">
        <v>500</v>
      </c>
      <c r="J45" s="143">
        <f t="shared" si="8"/>
        <v>240</v>
      </c>
      <c r="K45" s="142">
        <v>380</v>
      </c>
      <c r="L45" s="140">
        <v>80</v>
      </c>
      <c r="M45" s="142">
        <f t="shared" si="9"/>
        <v>300</v>
      </c>
      <c r="N45" s="140">
        <v>17.2</v>
      </c>
      <c r="O45" s="159">
        <f t="shared" si="10"/>
        <v>5160</v>
      </c>
      <c r="P45" s="140">
        <v>0</v>
      </c>
      <c r="Q45" s="151">
        <f>P45*N45</f>
        <v>0</v>
      </c>
      <c r="R45" s="225">
        <v>100</v>
      </c>
      <c r="S45" s="280">
        <f>R45*N45</f>
        <v>1720</v>
      </c>
      <c r="T45" s="280">
        <v>100</v>
      </c>
      <c r="U45" s="281">
        <f>T45*N45</f>
        <v>1720</v>
      </c>
      <c r="V45" s="140">
        <v>100</v>
      </c>
      <c r="W45" s="140">
        <f>V45*N45</f>
        <v>1720</v>
      </c>
      <c r="X45" s="146"/>
      <c r="Y45" s="269">
        <f>M45-Z45</f>
        <v>0</v>
      </c>
      <c r="Z45" s="269">
        <f>P45+R45+T45+V45</f>
        <v>300</v>
      </c>
      <c r="AA45" s="149">
        <f>M45/4</f>
        <v>75</v>
      </c>
      <c r="AB45" s="149">
        <f>4*50</f>
        <v>200</v>
      </c>
      <c r="AC45" s="149">
        <v>3600</v>
      </c>
      <c r="AD45" s="149">
        <f>AC45/AB45</f>
        <v>18</v>
      </c>
      <c r="AE45" s="150">
        <f t="shared" si="11"/>
        <v>240</v>
      </c>
    </row>
    <row r="46" spans="1:31" ht="30">
      <c r="A46" s="140">
        <v>10949</v>
      </c>
      <c r="B46" s="221">
        <v>42</v>
      </c>
      <c r="C46" s="221"/>
      <c r="D46" s="283" t="s">
        <v>1488</v>
      </c>
      <c r="E46" s="283"/>
      <c r="F46" s="225">
        <v>1</v>
      </c>
      <c r="G46" s="140" t="s">
        <v>409</v>
      </c>
      <c r="H46" s="140">
        <v>0</v>
      </c>
      <c r="I46" s="143">
        <v>0</v>
      </c>
      <c r="J46" s="143">
        <f t="shared" si="8"/>
        <v>0</v>
      </c>
      <c r="K46" s="142">
        <v>300</v>
      </c>
      <c r="L46" s="140">
        <v>0</v>
      </c>
      <c r="M46" s="142">
        <f t="shared" si="9"/>
        <v>300</v>
      </c>
      <c r="N46" s="140">
        <v>25</v>
      </c>
      <c r="O46" s="159">
        <f t="shared" si="10"/>
        <v>7500</v>
      </c>
      <c r="P46" s="140">
        <v>0</v>
      </c>
      <c r="Q46" s="151">
        <f t="shared" si="29"/>
        <v>0</v>
      </c>
      <c r="R46" s="225">
        <v>0</v>
      </c>
      <c r="S46" s="280">
        <f t="shared" si="30"/>
        <v>0</v>
      </c>
      <c r="T46" s="280">
        <v>300</v>
      </c>
      <c r="U46" s="281">
        <f t="shared" si="31"/>
        <v>7500</v>
      </c>
      <c r="V46" s="281">
        <v>0</v>
      </c>
      <c r="W46" s="140">
        <f t="shared" si="32"/>
        <v>0</v>
      </c>
      <c r="X46" s="146"/>
      <c r="Y46" s="269">
        <f t="shared" si="33"/>
        <v>0</v>
      </c>
      <c r="Z46" s="269">
        <f t="shared" si="34"/>
        <v>300</v>
      </c>
      <c r="AA46" s="149">
        <f t="shared" si="35"/>
        <v>75</v>
      </c>
      <c r="AD46" s="149" t="e">
        <f t="shared" si="27"/>
        <v>#DIV/0!</v>
      </c>
      <c r="AE46" s="150">
        <f t="shared" si="11"/>
        <v>0</v>
      </c>
    </row>
    <row r="47" spans="1:31" ht="15">
      <c r="A47" s="140">
        <v>10949</v>
      </c>
      <c r="B47" s="225">
        <v>43</v>
      </c>
      <c r="C47" s="221"/>
      <c r="D47" s="187" t="s">
        <v>324</v>
      </c>
      <c r="E47" s="187"/>
      <c r="F47" s="225">
        <v>1</v>
      </c>
      <c r="G47" s="140" t="s">
        <v>409</v>
      </c>
      <c r="H47" s="140">
        <v>2430</v>
      </c>
      <c r="I47" s="143">
        <v>2520</v>
      </c>
      <c r="J47" s="143">
        <f t="shared" si="8"/>
        <v>1560</v>
      </c>
      <c r="K47" s="142">
        <v>2200</v>
      </c>
      <c r="L47" s="140">
        <v>1000</v>
      </c>
      <c r="M47" s="142">
        <f t="shared" si="9"/>
        <v>1200</v>
      </c>
      <c r="N47" s="140">
        <v>16</v>
      </c>
      <c r="O47" s="159">
        <f t="shared" si="10"/>
        <v>19200</v>
      </c>
      <c r="P47" s="140">
        <v>300</v>
      </c>
      <c r="Q47" s="151">
        <f t="shared" si="29"/>
        <v>4800</v>
      </c>
      <c r="R47" s="225">
        <v>300</v>
      </c>
      <c r="S47" s="280">
        <f t="shared" si="30"/>
        <v>4800</v>
      </c>
      <c r="T47" s="280">
        <v>300</v>
      </c>
      <c r="U47" s="281">
        <f t="shared" si="31"/>
        <v>4800</v>
      </c>
      <c r="V47" s="140">
        <v>300</v>
      </c>
      <c r="W47" s="140">
        <f t="shared" si="32"/>
        <v>4800</v>
      </c>
      <c r="X47" s="146"/>
      <c r="Y47" s="269">
        <f t="shared" si="33"/>
        <v>0</v>
      </c>
      <c r="Z47" s="269">
        <f t="shared" si="34"/>
        <v>1200</v>
      </c>
      <c r="AA47" s="149">
        <f t="shared" si="35"/>
        <v>300</v>
      </c>
      <c r="AB47" s="149">
        <f>13*100</f>
        <v>1300</v>
      </c>
      <c r="AC47" s="149">
        <v>18083</v>
      </c>
      <c r="AD47" s="149">
        <f t="shared" si="27"/>
        <v>13.91</v>
      </c>
      <c r="AE47" s="150">
        <f t="shared" si="11"/>
        <v>1560</v>
      </c>
    </row>
    <row r="48" spans="1:31" ht="15">
      <c r="A48" s="140">
        <v>10949</v>
      </c>
      <c r="B48" s="221">
        <v>44</v>
      </c>
      <c r="C48" s="225"/>
      <c r="D48" s="187" t="s">
        <v>325</v>
      </c>
      <c r="E48" s="187"/>
      <c r="F48" s="225">
        <v>1</v>
      </c>
      <c r="G48" s="140" t="s">
        <v>409</v>
      </c>
      <c r="H48" s="140">
        <v>21820</v>
      </c>
      <c r="I48" s="143">
        <v>22120</v>
      </c>
      <c r="J48" s="143">
        <f t="shared" si="8"/>
        <v>18120</v>
      </c>
      <c r="K48" s="142">
        <v>22000</v>
      </c>
      <c r="L48" s="140">
        <v>2000</v>
      </c>
      <c r="M48" s="142">
        <f t="shared" si="9"/>
        <v>20000</v>
      </c>
      <c r="N48" s="140">
        <v>8.501</v>
      </c>
      <c r="O48" s="159">
        <f t="shared" si="10"/>
        <v>170020</v>
      </c>
      <c r="P48" s="140">
        <v>5000</v>
      </c>
      <c r="Q48" s="151">
        <f t="shared" si="29"/>
        <v>42505</v>
      </c>
      <c r="R48" s="225">
        <v>5000</v>
      </c>
      <c r="S48" s="280">
        <f t="shared" si="30"/>
        <v>42505</v>
      </c>
      <c r="T48" s="280">
        <v>5000</v>
      </c>
      <c r="U48" s="281">
        <f t="shared" si="31"/>
        <v>42505</v>
      </c>
      <c r="V48" s="140">
        <v>5000</v>
      </c>
      <c r="W48" s="140">
        <f t="shared" si="32"/>
        <v>42505</v>
      </c>
      <c r="X48" s="146"/>
      <c r="Y48" s="269">
        <f t="shared" si="33"/>
        <v>0</v>
      </c>
      <c r="Z48" s="269">
        <f t="shared" si="34"/>
        <v>20000</v>
      </c>
      <c r="AA48" s="149">
        <f t="shared" si="35"/>
        <v>5000</v>
      </c>
      <c r="AB48" s="149">
        <f>151*100</f>
        <v>15100</v>
      </c>
      <c r="AC48" s="149">
        <v>128355.84</v>
      </c>
      <c r="AD48" s="149">
        <f t="shared" si="27"/>
        <v>8.500386754966888</v>
      </c>
      <c r="AE48" s="150">
        <f t="shared" si="11"/>
        <v>18120</v>
      </c>
    </row>
    <row r="49" spans="1:31" ht="15">
      <c r="A49" s="140">
        <v>10949</v>
      </c>
      <c r="B49" s="225">
        <v>45</v>
      </c>
      <c r="C49" s="225"/>
      <c r="D49" s="187" t="s">
        <v>1510</v>
      </c>
      <c r="E49" s="187"/>
      <c r="F49" s="225">
        <v>1</v>
      </c>
      <c r="G49" s="140" t="s">
        <v>409</v>
      </c>
      <c r="H49" s="140">
        <v>0</v>
      </c>
      <c r="I49" s="143">
        <v>50</v>
      </c>
      <c r="J49" s="143">
        <f t="shared" si="8"/>
        <v>60</v>
      </c>
      <c r="K49" s="142">
        <v>50</v>
      </c>
      <c r="L49" s="140">
        <v>0</v>
      </c>
      <c r="M49" s="142">
        <f t="shared" si="9"/>
        <v>50</v>
      </c>
      <c r="N49" s="140">
        <v>8.9452</v>
      </c>
      <c r="O49" s="159">
        <f t="shared" si="10"/>
        <v>447.26</v>
      </c>
      <c r="P49" s="140">
        <v>0</v>
      </c>
      <c r="Q49" s="151">
        <f t="shared" si="29"/>
        <v>0</v>
      </c>
      <c r="R49" s="225">
        <v>0</v>
      </c>
      <c r="S49" s="280">
        <f t="shared" si="30"/>
        <v>0</v>
      </c>
      <c r="T49" s="280">
        <v>50</v>
      </c>
      <c r="U49" s="281">
        <f t="shared" si="31"/>
        <v>447.26</v>
      </c>
      <c r="V49" s="140">
        <v>0</v>
      </c>
      <c r="W49" s="140">
        <f t="shared" si="32"/>
        <v>0</v>
      </c>
      <c r="X49" s="146"/>
      <c r="Y49" s="269">
        <f aca="true" t="shared" si="36" ref="Y49:Y54">M49-Z49</f>
        <v>0</v>
      </c>
      <c r="Z49" s="269">
        <f aca="true" t="shared" si="37" ref="Z49:Z54">P49+R49+T49+V49</f>
        <v>50</v>
      </c>
      <c r="AA49" s="149">
        <f aca="true" t="shared" si="38" ref="AA49:AA54">M49/4</f>
        <v>12.5</v>
      </c>
      <c r="AB49" s="149">
        <v>50</v>
      </c>
      <c r="AC49" s="149">
        <v>447.26</v>
      </c>
      <c r="AD49" s="149">
        <f t="shared" si="27"/>
        <v>8.9452</v>
      </c>
      <c r="AE49" s="150">
        <f t="shared" si="11"/>
        <v>60</v>
      </c>
    </row>
    <row r="50" spans="1:31" ht="15">
      <c r="A50" s="140">
        <v>10949</v>
      </c>
      <c r="B50" s="221">
        <v>46</v>
      </c>
      <c r="C50" s="221"/>
      <c r="D50" s="187" t="s">
        <v>326</v>
      </c>
      <c r="E50" s="187"/>
      <c r="F50" s="225">
        <v>1</v>
      </c>
      <c r="G50" s="140" t="s">
        <v>409</v>
      </c>
      <c r="H50" s="140">
        <v>1295</v>
      </c>
      <c r="I50" s="143">
        <v>1070</v>
      </c>
      <c r="J50" s="143">
        <f t="shared" si="8"/>
        <v>240</v>
      </c>
      <c r="K50" s="142">
        <v>875</v>
      </c>
      <c r="L50" s="271">
        <v>75</v>
      </c>
      <c r="M50" s="142">
        <f t="shared" si="9"/>
        <v>800</v>
      </c>
      <c r="N50" s="140">
        <v>8.9452</v>
      </c>
      <c r="O50" s="159">
        <f t="shared" si="10"/>
        <v>7156.16</v>
      </c>
      <c r="P50" s="225">
        <v>200</v>
      </c>
      <c r="Q50" s="151">
        <f t="shared" si="29"/>
        <v>1789.04</v>
      </c>
      <c r="R50" s="225">
        <v>200</v>
      </c>
      <c r="S50" s="280">
        <f t="shared" si="30"/>
        <v>1789.04</v>
      </c>
      <c r="T50" s="280">
        <v>200</v>
      </c>
      <c r="U50" s="281">
        <f t="shared" si="31"/>
        <v>1789.04</v>
      </c>
      <c r="V50" s="140">
        <v>200</v>
      </c>
      <c r="W50" s="140">
        <f t="shared" si="32"/>
        <v>1789.04</v>
      </c>
      <c r="X50" s="146"/>
      <c r="Y50" s="269">
        <f t="shared" si="36"/>
        <v>0</v>
      </c>
      <c r="Z50" s="269">
        <f t="shared" si="37"/>
        <v>800</v>
      </c>
      <c r="AA50" s="149">
        <f t="shared" si="38"/>
        <v>200</v>
      </c>
      <c r="AB50" s="149">
        <f>4*50</f>
        <v>200</v>
      </c>
      <c r="AC50" s="149">
        <v>1789.03</v>
      </c>
      <c r="AD50" s="149">
        <f t="shared" si="27"/>
        <v>8.94515</v>
      </c>
      <c r="AE50" s="150">
        <f t="shared" si="11"/>
        <v>240</v>
      </c>
    </row>
    <row r="51" spans="1:31" ht="15">
      <c r="A51" s="140">
        <v>10949</v>
      </c>
      <c r="B51" s="225">
        <v>47</v>
      </c>
      <c r="C51" s="221"/>
      <c r="D51" s="187" t="s">
        <v>327</v>
      </c>
      <c r="E51" s="187"/>
      <c r="F51" s="225">
        <v>1</v>
      </c>
      <c r="G51" s="140" t="s">
        <v>409</v>
      </c>
      <c r="H51" s="140">
        <v>3590</v>
      </c>
      <c r="I51" s="143">
        <v>2800</v>
      </c>
      <c r="J51" s="143">
        <f t="shared" si="8"/>
        <v>3360</v>
      </c>
      <c r="K51" s="142">
        <v>3400</v>
      </c>
      <c r="L51" s="271">
        <v>400</v>
      </c>
      <c r="M51" s="142">
        <f t="shared" si="9"/>
        <v>3000</v>
      </c>
      <c r="N51" s="140">
        <v>8.9452</v>
      </c>
      <c r="O51" s="159">
        <f t="shared" si="10"/>
        <v>26835.6</v>
      </c>
      <c r="P51" s="140">
        <v>750</v>
      </c>
      <c r="Q51" s="151">
        <f t="shared" si="29"/>
        <v>6708.9</v>
      </c>
      <c r="R51" s="225">
        <v>750</v>
      </c>
      <c r="S51" s="280">
        <f t="shared" si="30"/>
        <v>6708.9</v>
      </c>
      <c r="T51" s="280">
        <v>750</v>
      </c>
      <c r="U51" s="281">
        <f t="shared" si="31"/>
        <v>6708.9</v>
      </c>
      <c r="V51" s="140">
        <v>750</v>
      </c>
      <c r="W51" s="140">
        <f t="shared" si="32"/>
        <v>6708.9</v>
      </c>
      <c r="X51" s="146"/>
      <c r="Y51" s="269">
        <f t="shared" si="36"/>
        <v>0</v>
      </c>
      <c r="Z51" s="269">
        <f t="shared" si="37"/>
        <v>3000</v>
      </c>
      <c r="AA51" s="149">
        <f t="shared" si="38"/>
        <v>750</v>
      </c>
      <c r="AB51" s="149">
        <f>56*50</f>
        <v>2800</v>
      </c>
      <c r="AC51" s="149">
        <v>25046.56</v>
      </c>
      <c r="AD51" s="149">
        <f t="shared" si="27"/>
        <v>8.9452</v>
      </c>
      <c r="AE51" s="150">
        <f t="shared" si="11"/>
        <v>3360</v>
      </c>
    </row>
    <row r="52" spans="1:31" ht="15">
      <c r="A52" s="140">
        <v>10949</v>
      </c>
      <c r="B52" s="221">
        <v>48</v>
      </c>
      <c r="C52" s="221"/>
      <c r="D52" s="187" t="s">
        <v>328</v>
      </c>
      <c r="E52" s="187"/>
      <c r="F52" s="225">
        <v>1</v>
      </c>
      <c r="G52" s="140" t="s">
        <v>409</v>
      </c>
      <c r="H52" s="140">
        <v>11437</v>
      </c>
      <c r="I52" s="143">
        <v>12778</v>
      </c>
      <c r="J52" s="143">
        <f t="shared" si="8"/>
        <v>12000</v>
      </c>
      <c r="K52" s="142">
        <v>13000</v>
      </c>
      <c r="L52" s="271">
        <v>1500</v>
      </c>
      <c r="M52" s="142">
        <f t="shared" si="9"/>
        <v>11500</v>
      </c>
      <c r="N52" s="140">
        <v>8.9452</v>
      </c>
      <c r="O52" s="159">
        <f t="shared" si="10"/>
        <v>102869.8</v>
      </c>
      <c r="P52" s="140">
        <v>2900</v>
      </c>
      <c r="Q52" s="151">
        <f t="shared" si="29"/>
        <v>25941.079999999998</v>
      </c>
      <c r="R52" s="225">
        <v>3000</v>
      </c>
      <c r="S52" s="280">
        <f t="shared" si="30"/>
        <v>26835.6</v>
      </c>
      <c r="T52" s="280">
        <v>2800</v>
      </c>
      <c r="U52" s="281">
        <f t="shared" si="31"/>
        <v>25046.559999999998</v>
      </c>
      <c r="V52" s="140">
        <v>2800</v>
      </c>
      <c r="W52" s="140">
        <f t="shared" si="32"/>
        <v>25046.559999999998</v>
      </c>
      <c r="X52" s="146"/>
      <c r="Y52" s="269">
        <f t="shared" si="36"/>
        <v>0</v>
      </c>
      <c r="Z52" s="269">
        <f t="shared" si="37"/>
        <v>11500</v>
      </c>
      <c r="AA52" s="149">
        <f t="shared" si="38"/>
        <v>2875</v>
      </c>
      <c r="AB52" s="149">
        <f>AC52/AD51</f>
        <v>10000</v>
      </c>
      <c r="AC52" s="149">
        <v>89452</v>
      </c>
      <c r="AD52" s="149">
        <f t="shared" si="27"/>
        <v>8.9452</v>
      </c>
      <c r="AE52" s="150">
        <f t="shared" si="11"/>
        <v>12000</v>
      </c>
    </row>
    <row r="53" spans="1:31" ht="15">
      <c r="A53" s="140">
        <v>10949</v>
      </c>
      <c r="B53" s="225">
        <v>49</v>
      </c>
      <c r="C53" s="221"/>
      <c r="D53" s="187" t="s">
        <v>329</v>
      </c>
      <c r="E53" s="187"/>
      <c r="F53" s="225">
        <v>1</v>
      </c>
      <c r="G53" s="140" t="s">
        <v>409</v>
      </c>
      <c r="H53" s="140">
        <v>7387</v>
      </c>
      <c r="I53" s="143">
        <v>6813</v>
      </c>
      <c r="J53" s="143">
        <f t="shared" si="8"/>
        <v>5760</v>
      </c>
      <c r="K53" s="142">
        <v>6200</v>
      </c>
      <c r="L53" s="271">
        <v>1400</v>
      </c>
      <c r="M53" s="142">
        <f t="shared" si="9"/>
        <v>4800</v>
      </c>
      <c r="N53" s="140">
        <v>8.9452</v>
      </c>
      <c r="O53" s="159">
        <f t="shared" si="10"/>
        <v>42936.96</v>
      </c>
      <c r="P53" s="140">
        <v>1200</v>
      </c>
      <c r="Q53" s="151">
        <f t="shared" si="29"/>
        <v>10734.24</v>
      </c>
      <c r="R53" s="225">
        <v>1200</v>
      </c>
      <c r="S53" s="280">
        <f t="shared" si="30"/>
        <v>10734.24</v>
      </c>
      <c r="T53" s="280">
        <v>1200</v>
      </c>
      <c r="U53" s="281">
        <f t="shared" si="31"/>
        <v>10734.24</v>
      </c>
      <c r="V53" s="140">
        <v>1200</v>
      </c>
      <c r="W53" s="140">
        <f t="shared" si="32"/>
        <v>10734.24</v>
      </c>
      <c r="X53" s="146"/>
      <c r="Y53" s="269">
        <f t="shared" si="36"/>
        <v>0</v>
      </c>
      <c r="Z53" s="269">
        <f t="shared" si="37"/>
        <v>4800</v>
      </c>
      <c r="AA53" s="149">
        <f t="shared" si="38"/>
        <v>1200</v>
      </c>
      <c r="AB53" s="149">
        <f>96*50</f>
        <v>4800</v>
      </c>
      <c r="AC53" s="149">
        <v>42936.96</v>
      </c>
      <c r="AD53" s="149">
        <f t="shared" si="27"/>
        <v>8.9452</v>
      </c>
      <c r="AE53" s="150">
        <f t="shared" si="11"/>
        <v>5760</v>
      </c>
    </row>
    <row r="54" spans="1:31" ht="15">
      <c r="A54" s="140">
        <v>10949</v>
      </c>
      <c r="B54" s="221">
        <v>50</v>
      </c>
      <c r="C54" s="221"/>
      <c r="D54" s="187" t="s">
        <v>1511</v>
      </c>
      <c r="E54" s="187"/>
      <c r="F54" s="225">
        <v>1</v>
      </c>
      <c r="G54" s="140" t="s">
        <v>409</v>
      </c>
      <c r="H54" s="140">
        <v>0</v>
      </c>
      <c r="I54" s="143">
        <v>50</v>
      </c>
      <c r="J54" s="143">
        <f t="shared" si="8"/>
        <v>60</v>
      </c>
      <c r="K54" s="142">
        <v>50</v>
      </c>
      <c r="L54" s="271">
        <v>0</v>
      </c>
      <c r="M54" s="142">
        <f t="shared" si="9"/>
        <v>50</v>
      </c>
      <c r="N54" s="140">
        <v>32.3354</v>
      </c>
      <c r="O54" s="159">
        <f t="shared" si="10"/>
        <v>1616.77</v>
      </c>
      <c r="P54" s="140">
        <v>0</v>
      </c>
      <c r="Q54" s="151">
        <f t="shared" si="29"/>
        <v>0</v>
      </c>
      <c r="R54" s="225">
        <v>0</v>
      </c>
      <c r="S54" s="280">
        <f t="shared" si="30"/>
        <v>0</v>
      </c>
      <c r="T54" s="280">
        <v>50</v>
      </c>
      <c r="U54" s="281">
        <f t="shared" si="31"/>
        <v>1616.77</v>
      </c>
      <c r="V54" s="140">
        <v>0</v>
      </c>
      <c r="W54" s="140">
        <f t="shared" si="32"/>
        <v>0</v>
      </c>
      <c r="X54" s="146"/>
      <c r="Y54" s="269">
        <f t="shared" si="36"/>
        <v>0</v>
      </c>
      <c r="Z54" s="269">
        <f t="shared" si="37"/>
        <v>50</v>
      </c>
      <c r="AA54" s="149">
        <f t="shared" si="38"/>
        <v>12.5</v>
      </c>
      <c r="AB54" s="149">
        <v>50</v>
      </c>
      <c r="AC54" s="149">
        <v>1616.77</v>
      </c>
      <c r="AD54" s="149">
        <f t="shared" si="27"/>
        <v>32.3354</v>
      </c>
      <c r="AE54" s="150">
        <f t="shared" si="11"/>
        <v>60</v>
      </c>
    </row>
    <row r="55" spans="1:31" ht="15">
      <c r="A55" s="140">
        <v>10949</v>
      </c>
      <c r="B55" s="225">
        <v>51</v>
      </c>
      <c r="C55" s="225"/>
      <c r="D55" s="187" t="s">
        <v>429</v>
      </c>
      <c r="E55" s="187"/>
      <c r="F55" s="225">
        <v>1</v>
      </c>
      <c r="G55" s="140" t="s">
        <v>411</v>
      </c>
      <c r="H55" s="140">
        <v>7</v>
      </c>
      <c r="I55" s="143">
        <v>17</v>
      </c>
      <c r="J55" s="143">
        <f t="shared" si="8"/>
        <v>0</v>
      </c>
      <c r="K55" s="142">
        <v>0</v>
      </c>
      <c r="L55" s="140">
        <v>0</v>
      </c>
      <c r="M55" s="142">
        <f t="shared" si="9"/>
        <v>0</v>
      </c>
      <c r="N55" s="160">
        <v>14.25</v>
      </c>
      <c r="O55" s="159">
        <f t="shared" si="10"/>
        <v>0</v>
      </c>
      <c r="P55" s="140">
        <v>0</v>
      </c>
      <c r="Q55" s="151">
        <f t="shared" si="29"/>
        <v>0</v>
      </c>
      <c r="R55" s="225">
        <v>0</v>
      </c>
      <c r="S55" s="280">
        <f t="shared" si="30"/>
        <v>0</v>
      </c>
      <c r="T55" s="280">
        <v>0</v>
      </c>
      <c r="U55" s="281">
        <f t="shared" si="31"/>
        <v>0</v>
      </c>
      <c r="V55" s="140">
        <v>0</v>
      </c>
      <c r="W55" s="140">
        <f t="shared" si="32"/>
        <v>0</v>
      </c>
      <c r="X55" s="146"/>
      <c r="Y55" s="269">
        <f t="shared" si="33"/>
        <v>0</v>
      </c>
      <c r="Z55" s="269">
        <f t="shared" si="34"/>
        <v>0</v>
      </c>
      <c r="AA55" s="149">
        <f t="shared" si="35"/>
        <v>0</v>
      </c>
      <c r="AD55" s="149" t="e">
        <f t="shared" si="27"/>
        <v>#DIV/0!</v>
      </c>
      <c r="AE55" s="150">
        <f t="shared" si="11"/>
        <v>0</v>
      </c>
    </row>
    <row r="56" spans="1:31" ht="15">
      <c r="A56" s="140">
        <v>10949</v>
      </c>
      <c r="B56" s="221">
        <v>52</v>
      </c>
      <c r="C56" s="221"/>
      <c r="D56" s="187" t="s">
        <v>330</v>
      </c>
      <c r="E56" s="187"/>
      <c r="F56" s="225">
        <v>1</v>
      </c>
      <c r="G56" s="140" t="s">
        <v>411</v>
      </c>
      <c r="H56" s="140">
        <v>20</v>
      </c>
      <c r="I56" s="143">
        <v>12</v>
      </c>
      <c r="J56" s="143">
        <f t="shared" si="8"/>
        <v>14.399999999999999</v>
      </c>
      <c r="K56" s="142">
        <v>16</v>
      </c>
      <c r="L56" s="140">
        <v>4</v>
      </c>
      <c r="M56" s="142">
        <f t="shared" si="9"/>
        <v>12</v>
      </c>
      <c r="N56" s="140">
        <v>29</v>
      </c>
      <c r="O56" s="159">
        <f t="shared" si="10"/>
        <v>348</v>
      </c>
      <c r="P56" s="140">
        <v>0</v>
      </c>
      <c r="Q56" s="151">
        <f t="shared" si="29"/>
        <v>0</v>
      </c>
      <c r="R56" s="225">
        <v>0</v>
      </c>
      <c r="S56" s="280">
        <f t="shared" si="30"/>
        <v>0</v>
      </c>
      <c r="T56" s="280">
        <v>12</v>
      </c>
      <c r="U56" s="281">
        <f t="shared" si="31"/>
        <v>348</v>
      </c>
      <c r="V56" s="140">
        <v>0</v>
      </c>
      <c r="W56" s="140">
        <f t="shared" si="32"/>
        <v>0</v>
      </c>
      <c r="X56" s="146"/>
      <c r="Y56" s="269">
        <f t="shared" si="33"/>
        <v>0</v>
      </c>
      <c r="Z56" s="269">
        <f t="shared" si="34"/>
        <v>12</v>
      </c>
      <c r="AA56" s="149">
        <f t="shared" si="35"/>
        <v>3</v>
      </c>
      <c r="AB56" s="149">
        <v>12</v>
      </c>
      <c r="AC56" s="149">
        <v>342.4</v>
      </c>
      <c r="AD56" s="149">
        <f aca="true" t="shared" si="39" ref="AD56:AD88">AC56/AB56</f>
        <v>28.53333333333333</v>
      </c>
      <c r="AE56" s="150">
        <f t="shared" si="11"/>
        <v>14.399999999999999</v>
      </c>
    </row>
    <row r="57" spans="1:31" ht="15">
      <c r="A57" s="140">
        <v>10949</v>
      </c>
      <c r="B57" s="225">
        <v>53</v>
      </c>
      <c r="C57" s="221"/>
      <c r="D57" s="187" t="s">
        <v>430</v>
      </c>
      <c r="E57" s="187"/>
      <c r="F57" s="225">
        <v>1</v>
      </c>
      <c r="G57" s="140" t="s">
        <v>411</v>
      </c>
      <c r="H57" s="140">
        <v>16</v>
      </c>
      <c r="I57" s="143">
        <v>3</v>
      </c>
      <c r="J57" s="143">
        <f t="shared" si="8"/>
        <v>0</v>
      </c>
      <c r="K57" s="142">
        <v>7</v>
      </c>
      <c r="L57" s="140">
        <v>12</v>
      </c>
      <c r="M57" s="142">
        <v>0</v>
      </c>
      <c r="N57" s="140">
        <v>135.54</v>
      </c>
      <c r="O57" s="159">
        <f t="shared" si="10"/>
        <v>0</v>
      </c>
      <c r="P57" s="140">
        <v>0</v>
      </c>
      <c r="Q57" s="151">
        <f t="shared" si="29"/>
        <v>0</v>
      </c>
      <c r="R57" s="225">
        <v>0</v>
      </c>
      <c r="S57" s="280">
        <f t="shared" si="30"/>
        <v>0</v>
      </c>
      <c r="T57" s="280">
        <v>0</v>
      </c>
      <c r="U57" s="281">
        <f t="shared" si="31"/>
        <v>0</v>
      </c>
      <c r="V57" s="140">
        <v>0</v>
      </c>
      <c r="W57" s="140">
        <f t="shared" si="32"/>
        <v>0</v>
      </c>
      <c r="X57" s="146"/>
      <c r="Y57" s="269">
        <f t="shared" si="33"/>
        <v>0</v>
      </c>
      <c r="Z57" s="269">
        <f t="shared" si="34"/>
        <v>0</v>
      </c>
      <c r="AA57" s="149">
        <f t="shared" si="35"/>
        <v>0</v>
      </c>
      <c r="AD57" s="149" t="e">
        <f t="shared" si="39"/>
        <v>#DIV/0!</v>
      </c>
      <c r="AE57" s="150">
        <f t="shared" si="11"/>
        <v>0</v>
      </c>
    </row>
    <row r="58" spans="1:31" ht="15">
      <c r="A58" s="140">
        <v>10949</v>
      </c>
      <c r="B58" s="221">
        <v>54</v>
      </c>
      <c r="C58" s="221"/>
      <c r="D58" s="187" t="s">
        <v>331</v>
      </c>
      <c r="E58" s="187"/>
      <c r="F58" s="225">
        <v>1</v>
      </c>
      <c r="G58" s="140" t="s">
        <v>411</v>
      </c>
      <c r="H58" s="140">
        <v>95</v>
      </c>
      <c r="I58" s="143">
        <v>96</v>
      </c>
      <c r="J58" s="143">
        <f t="shared" si="8"/>
        <v>172.8</v>
      </c>
      <c r="K58" s="142">
        <v>200</v>
      </c>
      <c r="L58" s="140">
        <v>20</v>
      </c>
      <c r="M58" s="142">
        <f t="shared" si="9"/>
        <v>180</v>
      </c>
      <c r="N58" s="167">
        <v>96.4799</v>
      </c>
      <c r="O58" s="159">
        <f t="shared" si="10"/>
        <v>17366.382</v>
      </c>
      <c r="P58" s="140">
        <v>48</v>
      </c>
      <c r="Q58" s="151">
        <f t="shared" si="29"/>
        <v>4631.0352</v>
      </c>
      <c r="R58" s="225">
        <v>48</v>
      </c>
      <c r="S58" s="280">
        <f t="shared" si="30"/>
        <v>4631.0352</v>
      </c>
      <c r="T58" s="280">
        <v>48</v>
      </c>
      <c r="U58" s="281">
        <f t="shared" si="31"/>
        <v>4631.0352</v>
      </c>
      <c r="V58" s="140">
        <v>36</v>
      </c>
      <c r="W58" s="140">
        <f t="shared" si="32"/>
        <v>3473.2764</v>
      </c>
      <c r="X58" s="146"/>
      <c r="Y58" s="269">
        <f t="shared" si="33"/>
        <v>0</v>
      </c>
      <c r="Z58" s="269">
        <f t="shared" si="34"/>
        <v>180</v>
      </c>
      <c r="AA58" s="149">
        <f t="shared" si="35"/>
        <v>45</v>
      </c>
      <c r="AB58" s="149">
        <v>144</v>
      </c>
      <c r="AC58" s="149">
        <v>9244.8</v>
      </c>
      <c r="AD58" s="149">
        <f t="shared" si="39"/>
        <v>64.19999999999999</v>
      </c>
      <c r="AE58" s="150">
        <f t="shared" si="11"/>
        <v>172.8</v>
      </c>
    </row>
    <row r="59" spans="1:31" ht="15">
      <c r="A59" s="140">
        <v>10949</v>
      </c>
      <c r="B59" s="225">
        <v>55</v>
      </c>
      <c r="C59" s="221"/>
      <c r="D59" s="187" t="s">
        <v>431</v>
      </c>
      <c r="E59" s="187"/>
      <c r="F59" s="225">
        <v>1</v>
      </c>
      <c r="G59" s="140" t="s">
        <v>411</v>
      </c>
      <c r="H59" s="140">
        <v>127</v>
      </c>
      <c r="I59" s="140">
        <v>111</v>
      </c>
      <c r="J59" s="143">
        <f t="shared" si="8"/>
        <v>410.40000000000003</v>
      </c>
      <c r="K59" s="142">
        <v>430</v>
      </c>
      <c r="L59" s="140">
        <v>10</v>
      </c>
      <c r="M59" s="142">
        <f t="shared" si="9"/>
        <v>420</v>
      </c>
      <c r="N59" s="140">
        <v>249.99458</v>
      </c>
      <c r="O59" s="159">
        <f t="shared" si="10"/>
        <v>104997.72360000001</v>
      </c>
      <c r="P59" s="140">
        <v>120</v>
      </c>
      <c r="Q59" s="151">
        <f t="shared" si="29"/>
        <v>29999.3496</v>
      </c>
      <c r="R59" s="225">
        <v>100</v>
      </c>
      <c r="S59" s="280">
        <f t="shared" si="30"/>
        <v>24999.458000000002</v>
      </c>
      <c r="T59" s="280">
        <v>100</v>
      </c>
      <c r="U59" s="281">
        <f t="shared" si="31"/>
        <v>24999.458000000002</v>
      </c>
      <c r="V59" s="140">
        <v>100</v>
      </c>
      <c r="W59" s="140">
        <f t="shared" si="32"/>
        <v>24999.458000000002</v>
      </c>
      <c r="X59" s="146"/>
      <c r="Y59" s="269">
        <f t="shared" si="33"/>
        <v>0</v>
      </c>
      <c r="Z59" s="269">
        <f t="shared" si="34"/>
        <v>420</v>
      </c>
      <c r="AA59" s="149">
        <f t="shared" si="35"/>
        <v>105</v>
      </c>
      <c r="AB59" s="149">
        <v>342</v>
      </c>
      <c r="AC59" s="149">
        <v>29532</v>
      </c>
      <c r="AD59" s="149">
        <f t="shared" si="39"/>
        <v>86.35087719298245</v>
      </c>
      <c r="AE59" s="150">
        <f t="shared" si="11"/>
        <v>410.40000000000003</v>
      </c>
    </row>
    <row r="60" spans="1:31" ht="15">
      <c r="A60" s="140">
        <v>10949</v>
      </c>
      <c r="B60" s="221">
        <v>56</v>
      </c>
      <c r="C60" s="225"/>
      <c r="D60" s="187" t="s">
        <v>332</v>
      </c>
      <c r="E60" s="187"/>
      <c r="F60" s="225">
        <v>1</v>
      </c>
      <c r="G60" s="140" t="s">
        <v>411</v>
      </c>
      <c r="H60" s="140">
        <v>103</v>
      </c>
      <c r="I60" s="140">
        <v>31</v>
      </c>
      <c r="J60" s="143">
        <f aca="true" t="shared" si="40" ref="J60:J114">AE60</f>
        <v>201.60000000000002</v>
      </c>
      <c r="K60" s="142">
        <v>212</v>
      </c>
      <c r="L60" s="140">
        <v>20</v>
      </c>
      <c r="M60" s="142">
        <f aca="true" t="shared" si="41" ref="M60:M113">K60-L60</f>
        <v>192</v>
      </c>
      <c r="N60" s="140">
        <v>18.7252</v>
      </c>
      <c r="O60" s="159">
        <f t="shared" si="10"/>
        <v>3595.2384</v>
      </c>
      <c r="P60" s="140">
        <v>48</v>
      </c>
      <c r="Q60" s="151">
        <f t="shared" si="29"/>
        <v>898.8096</v>
      </c>
      <c r="R60" s="225">
        <v>48</v>
      </c>
      <c r="S60" s="280">
        <f t="shared" si="30"/>
        <v>898.8096</v>
      </c>
      <c r="T60" s="280">
        <v>48</v>
      </c>
      <c r="U60" s="281">
        <f t="shared" si="31"/>
        <v>898.8096</v>
      </c>
      <c r="V60" s="140">
        <v>48</v>
      </c>
      <c r="W60" s="140">
        <f t="shared" si="32"/>
        <v>898.8096</v>
      </c>
      <c r="X60" s="146"/>
      <c r="Y60" s="269">
        <f t="shared" si="33"/>
        <v>0</v>
      </c>
      <c r="Z60" s="269">
        <f t="shared" si="34"/>
        <v>192</v>
      </c>
      <c r="AA60" s="149">
        <f t="shared" si="35"/>
        <v>48</v>
      </c>
      <c r="AB60" s="149">
        <f>7*24</f>
        <v>168</v>
      </c>
      <c r="AC60" s="149">
        <v>2247</v>
      </c>
      <c r="AD60" s="149">
        <f t="shared" si="39"/>
        <v>13.375</v>
      </c>
      <c r="AE60" s="150">
        <f aca="true" t="shared" si="42" ref="AE60:AE114">AB60/10*12</f>
        <v>201.60000000000002</v>
      </c>
    </row>
    <row r="61" spans="1:31" ht="15">
      <c r="A61" s="140">
        <v>10949</v>
      </c>
      <c r="B61" s="225">
        <v>57</v>
      </c>
      <c r="C61" s="221"/>
      <c r="D61" s="187" t="s">
        <v>338</v>
      </c>
      <c r="E61" s="187"/>
      <c r="F61" s="225">
        <v>1</v>
      </c>
      <c r="G61" s="140" t="s">
        <v>1239</v>
      </c>
      <c r="H61" s="140">
        <v>7</v>
      </c>
      <c r="I61" s="143">
        <v>10</v>
      </c>
      <c r="J61" s="143">
        <f t="shared" si="40"/>
        <v>48</v>
      </c>
      <c r="K61" s="142">
        <v>50</v>
      </c>
      <c r="L61" s="140">
        <v>0</v>
      </c>
      <c r="M61" s="142">
        <f t="shared" si="41"/>
        <v>50</v>
      </c>
      <c r="N61" s="140">
        <v>14</v>
      </c>
      <c r="O61" s="159">
        <f t="shared" si="10"/>
        <v>700</v>
      </c>
      <c r="P61" s="140">
        <v>50</v>
      </c>
      <c r="Q61" s="151">
        <f t="shared" si="29"/>
        <v>700</v>
      </c>
      <c r="R61" s="225">
        <v>0</v>
      </c>
      <c r="S61" s="280">
        <f t="shared" si="30"/>
        <v>0</v>
      </c>
      <c r="T61" s="280">
        <v>0</v>
      </c>
      <c r="U61" s="281">
        <f t="shared" si="31"/>
        <v>0</v>
      </c>
      <c r="V61" s="140">
        <v>0</v>
      </c>
      <c r="W61" s="140">
        <f t="shared" si="32"/>
        <v>0</v>
      </c>
      <c r="X61" s="146"/>
      <c r="Y61" s="269">
        <f t="shared" si="33"/>
        <v>0</v>
      </c>
      <c r="Z61" s="269">
        <f t="shared" si="34"/>
        <v>50</v>
      </c>
      <c r="AA61" s="149">
        <f t="shared" si="35"/>
        <v>12.5</v>
      </c>
      <c r="AB61" s="149">
        <v>40</v>
      </c>
      <c r="AC61" s="149">
        <v>560</v>
      </c>
      <c r="AD61" s="149">
        <f t="shared" si="39"/>
        <v>14</v>
      </c>
      <c r="AE61" s="150">
        <f t="shared" si="42"/>
        <v>48</v>
      </c>
    </row>
    <row r="62" spans="1:31" ht="15">
      <c r="A62" s="140">
        <v>10949</v>
      </c>
      <c r="B62" s="221">
        <v>58</v>
      </c>
      <c r="C62" s="221"/>
      <c r="D62" s="187" t="s">
        <v>339</v>
      </c>
      <c r="E62" s="187"/>
      <c r="F62" s="225">
        <v>1</v>
      </c>
      <c r="G62" s="140" t="s">
        <v>1239</v>
      </c>
      <c r="H62" s="140">
        <v>21</v>
      </c>
      <c r="I62" s="143">
        <v>25</v>
      </c>
      <c r="J62" s="143">
        <f t="shared" si="40"/>
        <v>60</v>
      </c>
      <c r="K62" s="142">
        <v>50</v>
      </c>
      <c r="L62" s="140">
        <v>50</v>
      </c>
      <c r="M62" s="142">
        <v>0</v>
      </c>
      <c r="N62" s="140">
        <v>14</v>
      </c>
      <c r="O62" s="159">
        <f t="shared" si="10"/>
        <v>0</v>
      </c>
      <c r="P62" s="140">
        <v>0</v>
      </c>
      <c r="Q62" s="151">
        <f t="shared" si="29"/>
        <v>0</v>
      </c>
      <c r="R62" s="225">
        <v>0</v>
      </c>
      <c r="S62" s="280">
        <f t="shared" si="30"/>
        <v>0</v>
      </c>
      <c r="T62" s="280">
        <v>0</v>
      </c>
      <c r="U62" s="281">
        <f t="shared" si="31"/>
        <v>0</v>
      </c>
      <c r="V62" s="281">
        <v>0</v>
      </c>
      <c r="W62" s="140">
        <f t="shared" si="32"/>
        <v>0</v>
      </c>
      <c r="X62" s="146"/>
      <c r="Y62" s="269">
        <f t="shared" si="33"/>
        <v>0</v>
      </c>
      <c r="Z62" s="269">
        <f t="shared" si="34"/>
        <v>0</v>
      </c>
      <c r="AA62" s="149">
        <f t="shared" si="35"/>
        <v>0</v>
      </c>
      <c r="AB62" s="149">
        <v>50</v>
      </c>
      <c r="AC62" s="149">
        <v>700</v>
      </c>
      <c r="AD62" s="149">
        <f t="shared" si="39"/>
        <v>14</v>
      </c>
      <c r="AE62" s="150">
        <f t="shared" si="42"/>
        <v>60</v>
      </c>
    </row>
    <row r="63" spans="1:31" ht="15">
      <c r="A63" s="140">
        <v>10949</v>
      </c>
      <c r="B63" s="225">
        <v>59</v>
      </c>
      <c r="C63" s="221"/>
      <c r="D63" s="187" t="s">
        <v>333</v>
      </c>
      <c r="E63" s="187"/>
      <c r="F63" s="225">
        <v>1</v>
      </c>
      <c r="G63" s="140" t="s">
        <v>1239</v>
      </c>
      <c r="H63" s="140">
        <v>444</v>
      </c>
      <c r="I63" s="143">
        <v>583</v>
      </c>
      <c r="J63" s="143">
        <f t="shared" si="40"/>
        <v>556.8</v>
      </c>
      <c r="K63" s="142">
        <v>570</v>
      </c>
      <c r="L63" s="140">
        <v>70</v>
      </c>
      <c r="M63" s="142">
        <f t="shared" si="41"/>
        <v>500</v>
      </c>
      <c r="N63" s="140">
        <v>14</v>
      </c>
      <c r="O63" s="159">
        <f t="shared" si="10"/>
        <v>7000</v>
      </c>
      <c r="P63" s="140">
        <v>150</v>
      </c>
      <c r="Q63" s="151">
        <f t="shared" si="29"/>
        <v>2100</v>
      </c>
      <c r="R63" s="225">
        <v>100</v>
      </c>
      <c r="S63" s="280">
        <f t="shared" si="30"/>
        <v>1400</v>
      </c>
      <c r="T63" s="280">
        <v>150</v>
      </c>
      <c r="U63" s="281">
        <f t="shared" si="31"/>
        <v>2100</v>
      </c>
      <c r="V63" s="140">
        <v>100</v>
      </c>
      <c r="W63" s="140">
        <f t="shared" si="32"/>
        <v>1400</v>
      </c>
      <c r="X63" s="146"/>
      <c r="Y63" s="269">
        <f t="shared" si="33"/>
        <v>0</v>
      </c>
      <c r="Z63" s="269">
        <f t="shared" si="34"/>
        <v>500</v>
      </c>
      <c r="AA63" s="149">
        <f t="shared" si="35"/>
        <v>125</v>
      </c>
      <c r="AB63" s="149">
        <v>464</v>
      </c>
      <c r="AC63" s="149">
        <v>7000</v>
      </c>
      <c r="AD63" s="149">
        <f t="shared" si="39"/>
        <v>15.086206896551724</v>
      </c>
      <c r="AE63" s="150">
        <f t="shared" si="42"/>
        <v>556.8</v>
      </c>
    </row>
    <row r="64" spans="1:31" ht="15">
      <c r="A64" s="140">
        <v>10949</v>
      </c>
      <c r="B64" s="221">
        <v>60</v>
      </c>
      <c r="C64" s="225"/>
      <c r="D64" s="187" t="s">
        <v>340</v>
      </c>
      <c r="E64" s="187"/>
      <c r="F64" s="225">
        <v>1</v>
      </c>
      <c r="G64" s="140" t="s">
        <v>1239</v>
      </c>
      <c r="H64" s="140">
        <v>42</v>
      </c>
      <c r="I64" s="143">
        <v>18</v>
      </c>
      <c r="J64" s="143">
        <f t="shared" si="40"/>
        <v>60</v>
      </c>
      <c r="K64" s="142">
        <v>40</v>
      </c>
      <c r="L64" s="140">
        <v>47</v>
      </c>
      <c r="M64" s="142">
        <v>0</v>
      </c>
      <c r="N64" s="140">
        <v>14</v>
      </c>
      <c r="O64" s="159">
        <f t="shared" si="10"/>
        <v>0</v>
      </c>
      <c r="P64" s="140">
        <v>0</v>
      </c>
      <c r="Q64" s="151">
        <f t="shared" si="29"/>
        <v>0</v>
      </c>
      <c r="R64" s="225">
        <v>0</v>
      </c>
      <c r="S64" s="280">
        <f t="shared" si="30"/>
        <v>0</v>
      </c>
      <c r="T64" s="280">
        <v>0</v>
      </c>
      <c r="U64" s="281">
        <f t="shared" si="31"/>
        <v>0</v>
      </c>
      <c r="V64" s="281">
        <v>0</v>
      </c>
      <c r="W64" s="140">
        <f t="shared" si="32"/>
        <v>0</v>
      </c>
      <c r="X64" s="146"/>
      <c r="Y64" s="269">
        <f t="shared" si="33"/>
        <v>0</v>
      </c>
      <c r="Z64" s="269">
        <f t="shared" si="34"/>
        <v>0</v>
      </c>
      <c r="AA64" s="149">
        <f t="shared" si="35"/>
        <v>0</v>
      </c>
      <c r="AB64" s="149">
        <v>50</v>
      </c>
      <c r="AC64" s="149">
        <v>700</v>
      </c>
      <c r="AD64" s="149">
        <f t="shared" si="39"/>
        <v>14</v>
      </c>
      <c r="AE64" s="150">
        <f t="shared" si="42"/>
        <v>60</v>
      </c>
    </row>
    <row r="65" spans="1:31" ht="15">
      <c r="A65" s="140">
        <v>10949</v>
      </c>
      <c r="B65" s="225">
        <v>61</v>
      </c>
      <c r="C65" s="221"/>
      <c r="D65" s="187" t="s">
        <v>334</v>
      </c>
      <c r="E65" s="187"/>
      <c r="F65" s="225">
        <v>1</v>
      </c>
      <c r="G65" s="140" t="s">
        <v>1239</v>
      </c>
      <c r="H65" s="140">
        <v>6</v>
      </c>
      <c r="I65" s="143">
        <v>7</v>
      </c>
      <c r="J65" s="143">
        <f t="shared" si="40"/>
        <v>0</v>
      </c>
      <c r="K65" s="142">
        <v>0</v>
      </c>
      <c r="L65" s="140">
        <v>0</v>
      </c>
      <c r="M65" s="142">
        <f t="shared" si="41"/>
        <v>0</v>
      </c>
      <c r="N65" s="140">
        <v>14</v>
      </c>
      <c r="O65" s="159">
        <f t="shared" si="10"/>
        <v>0</v>
      </c>
      <c r="P65" s="140">
        <v>0</v>
      </c>
      <c r="Q65" s="151">
        <f t="shared" si="29"/>
        <v>0</v>
      </c>
      <c r="R65" s="140">
        <v>0</v>
      </c>
      <c r="S65" s="280">
        <f t="shared" si="30"/>
        <v>0</v>
      </c>
      <c r="T65" s="140">
        <v>0</v>
      </c>
      <c r="U65" s="281">
        <f t="shared" si="31"/>
        <v>0</v>
      </c>
      <c r="V65" s="140">
        <v>0</v>
      </c>
      <c r="W65" s="140">
        <f t="shared" si="32"/>
        <v>0</v>
      </c>
      <c r="X65" s="146"/>
      <c r="Y65" s="269">
        <f t="shared" si="33"/>
        <v>0</v>
      </c>
      <c r="Z65" s="269">
        <f t="shared" si="34"/>
        <v>0</v>
      </c>
      <c r="AA65" s="149">
        <f t="shared" si="35"/>
        <v>0</v>
      </c>
      <c r="AD65" s="149" t="e">
        <f t="shared" si="39"/>
        <v>#DIV/0!</v>
      </c>
      <c r="AE65" s="150">
        <f t="shared" si="42"/>
        <v>0</v>
      </c>
    </row>
    <row r="66" spans="1:31" ht="15">
      <c r="A66" s="140">
        <v>10949</v>
      </c>
      <c r="B66" s="221">
        <v>62</v>
      </c>
      <c r="C66" s="221"/>
      <c r="D66" s="187" t="s">
        <v>335</v>
      </c>
      <c r="E66" s="187"/>
      <c r="F66" s="225">
        <v>1</v>
      </c>
      <c r="G66" s="140" t="s">
        <v>1239</v>
      </c>
      <c r="H66" s="140">
        <v>11</v>
      </c>
      <c r="I66" s="143">
        <v>15</v>
      </c>
      <c r="J66" s="143">
        <f t="shared" si="40"/>
        <v>16.799999999999997</v>
      </c>
      <c r="K66" s="142">
        <v>15</v>
      </c>
      <c r="L66" s="140">
        <v>5</v>
      </c>
      <c r="M66" s="142">
        <f t="shared" si="41"/>
        <v>10</v>
      </c>
      <c r="N66" s="140">
        <v>14</v>
      </c>
      <c r="O66" s="159">
        <f t="shared" si="10"/>
        <v>140</v>
      </c>
      <c r="P66" s="140">
        <v>0</v>
      </c>
      <c r="Q66" s="151">
        <f t="shared" si="29"/>
        <v>0</v>
      </c>
      <c r="R66" s="140">
        <v>0</v>
      </c>
      <c r="S66" s="280">
        <f t="shared" si="30"/>
        <v>0</v>
      </c>
      <c r="T66" s="140">
        <v>10</v>
      </c>
      <c r="U66" s="281">
        <f t="shared" si="31"/>
        <v>140</v>
      </c>
      <c r="V66" s="140">
        <v>0</v>
      </c>
      <c r="W66" s="140">
        <f t="shared" si="32"/>
        <v>0</v>
      </c>
      <c r="X66" s="146"/>
      <c r="Y66" s="269">
        <f t="shared" si="33"/>
        <v>0</v>
      </c>
      <c r="Z66" s="269">
        <f t="shared" si="34"/>
        <v>10</v>
      </c>
      <c r="AA66" s="149">
        <f t="shared" si="35"/>
        <v>2.5</v>
      </c>
      <c r="AB66" s="149">
        <v>14</v>
      </c>
      <c r="AC66" s="149">
        <v>140</v>
      </c>
      <c r="AD66" s="149">
        <f t="shared" si="39"/>
        <v>10</v>
      </c>
      <c r="AE66" s="150">
        <f t="shared" si="42"/>
        <v>16.799999999999997</v>
      </c>
    </row>
    <row r="67" spans="1:31" ht="15">
      <c r="A67" s="140">
        <v>10949</v>
      </c>
      <c r="B67" s="225">
        <v>63</v>
      </c>
      <c r="C67" s="221"/>
      <c r="D67" s="187" t="s">
        <v>336</v>
      </c>
      <c r="E67" s="187"/>
      <c r="F67" s="225">
        <v>1</v>
      </c>
      <c r="G67" s="140" t="s">
        <v>1239</v>
      </c>
      <c r="H67" s="140">
        <v>6</v>
      </c>
      <c r="I67" s="143">
        <v>24</v>
      </c>
      <c r="J67" s="143">
        <f t="shared" si="40"/>
        <v>36</v>
      </c>
      <c r="K67" s="142">
        <v>38</v>
      </c>
      <c r="L67" s="140">
        <v>8</v>
      </c>
      <c r="M67" s="142">
        <f t="shared" si="41"/>
        <v>30</v>
      </c>
      <c r="N67" s="140">
        <v>14</v>
      </c>
      <c r="O67" s="159">
        <f t="shared" si="10"/>
        <v>420</v>
      </c>
      <c r="P67" s="225">
        <v>0</v>
      </c>
      <c r="Q67" s="151">
        <f t="shared" si="29"/>
        <v>0</v>
      </c>
      <c r="R67" s="225">
        <v>0</v>
      </c>
      <c r="S67" s="280">
        <f t="shared" si="30"/>
        <v>0</v>
      </c>
      <c r="T67" s="280">
        <v>30</v>
      </c>
      <c r="U67" s="281">
        <f t="shared" si="31"/>
        <v>420</v>
      </c>
      <c r="V67" s="140">
        <v>0</v>
      </c>
      <c r="W67" s="140">
        <f t="shared" si="32"/>
        <v>0</v>
      </c>
      <c r="X67" s="146"/>
      <c r="Y67" s="269">
        <f t="shared" si="33"/>
        <v>0</v>
      </c>
      <c r="Z67" s="269">
        <f t="shared" si="34"/>
        <v>30</v>
      </c>
      <c r="AA67" s="149">
        <f t="shared" si="35"/>
        <v>7.5</v>
      </c>
      <c r="AB67" s="149">
        <v>30</v>
      </c>
      <c r="AC67" s="149">
        <v>420</v>
      </c>
      <c r="AD67" s="149">
        <f t="shared" si="39"/>
        <v>14</v>
      </c>
      <c r="AE67" s="150">
        <f t="shared" si="42"/>
        <v>36</v>
      </c>
    </row>
    <row r="68" spans="1:31" ht="15">
      <c r="A68" s="140">
        <v>10949</v>
      </c>
      <c r="B68" s="221">
        <v>64</v>
      </c>
      <c r="C68" s="221"/>
      <c r="D68" s="187" t="s">
        <v>341</v>
      </c>
      <c r="E68" s="187"/>
      <c r="F68" s="225">
        <v>1</v>
      </c>
      <c r="G68" s="140" t="s">
        <v>1240</v>
      </c>
      <c r="H68" s="140">
        <v>646</v>
      </c>
      <c r="I68" s="140">
        <v>575</v>
      </c>
      <c r="J68" s="143">
        <f t="shared" si="40"/>
        <v>612</v>
      </c>
      <c r="K68" s="142">
        <v>640</v>
      </c>
      <c r="L68" s="140">
        <v>140</v>
      </c>
      <c r="M68" s="142">
        <f t="shared" si="41"/>
        <v>500</v>
      </c>
      <c r="N68" s="140">
        <v>46.01</v>
      </c>
      <c r="O68" s="159">
        <f t="shared" si="10"/>
        <v>23005</v>
      </c>
      <c r="P68" s="140">
        <v>120</v>
      </c>
      <c r="Q68" s="151">
        <f aca="true" t="shared" si="43" ref="Q68:Q89">P68*N68</f>
        <v>5521.2</v>
      </c>
      <c r="R68" s="225">
        <v>130</v>
      </c>
      <c r="S68" s="280">
        <f aca="true" t="shared" si="44" ref="S68:S89">R68*N68</f>
        <v>5981.3</v>
      </c>
      <c r="T68" s="280">
        <v>130</v>
      </c>
      <c r="U68" s="281">
        <f aca="true" t="shared" si="45" ref="U68:U89">T68*N68</f>
        <v>5981.3</v>
      </c>
      <c r="V68" s="140">
        <v>120</v>
      </c>
      <c r="W68" s="140">
        <f aca="true" t="shared" si="46" ref="W68:W89">V68*N68</f>
        <v>5521.2</v>
      </c>
      <c r="X68" s="146"/>
      <c r="Y68" s="269">
        <f aca="true" t="shared" si="47" ref="Y68:Y89">M68-Z68</f>
        <v>0</v>
      </c>
      <c r="Z68" s="269">
        <f aca="true" t="shared" si="48" ref="Z68:Z89">P68+R68+T68+V68</f>
        <v>500</v>
      </c>
      <c r="AA68" s="149">
        <f aca="true" t="shared" si="49" ref="AA68:AA89">M68/4</f>
        <v>125</v>
      </c>
      <c r="AB68" s="149">
        <v>510</v>
      </c>
      <c r="AC68" s="149">
        <v>23465.1</v>
      </c>
      <c r="AD68" s="149">
        <f t="shared" si="39"/>
        <v>46.01</v>
      </c>
      <c r="AE68" s="150">
        <f t="shared" si="42"/>
        <v>612</v>
      </c>
    </row>
    <row r="69" spans="1:33" ht="15">
      <c r="A69" s="130" t="s">
        <v>1199</v>
      </c>
      <c r="B69" s="237" t="s">
        <v>2</v>
      </c>
      <c r="C69" s="134" t="s">
        <v>1213</v>
      </c>
      <c r="D69" s="236" t="s">
        <v>1293</v>
      </c>
      <c r="E69" s="236" t="s">
        <v>1202</v>
      </c>
      <c r="F69" s="237" t="s">
        <v>1579</v>
      </c>
      <c r="G69" s="236" t="s">
        <v>1203</v>
      </c>
      <c r="H69" s="273"/>
      <c r="I69" s="274" t="s">
        <v>1205</v>
      </c>
      <c r="J69" s="235"/>
      <c r="K69" s="236" t="s">
        <v>0</v>
      </c>
      <c r="L69" s="236" t="s">
        <v>1214</v>
      </c>
      <c r="M69" s="236" t="s">
        <v>0</v>
      </c>
      <c r="N69" s="237" t="s">
        <v>1390</v>
      </c>
      <c r="O69" s="275" t="s">
        <v>1288</v>
      </c>
      <c r="P69" s="255" t="s">
        <v>1289</v>
      </c>
      <c r="Q69" s="235"/>
      <c r="R69" s="255" t="s">
        <v>1290</v>
      </c>
      <c r="S69" s="256"/>
      <c r="T69" s="255" t="s">
        <v>1291</v>
      </c>
      <c r="U69" s="235"/>
      <c r="V69" s="255" t="s">
        <v>1292</v>
      </c>
      <c r="W69" s="256"/>
      <c r="X69" s="203" t="s">
        <v>608</v>
      </c>
      <c r="AA69" s="149" t="s">
        <v>1318</v>
      </c>
      <c r="AB69" s="149" t="s">
        <v>1297</v>
      </c>
      <c r="AC69" s="149" t="s">
        <v>6</v>
      </c>
      <c r="AD69" s="149" t="s">
        <v>1</v>
      </c>
      <c r="AE69" s="150" t="s">
        <v>1303</v>
      </c>
      <c r="AF69" s="149" t="s">
        <v>4</v>
      </c>
      <c r="AG69" s="149" t="s">
        <v>1304</v>
      </c>
    </row>
    <row r="70" spans="1:29" ht="15">
      <c r="A70" s="276"/>
      <c r="B70" s="277"/>
      <c r="C70" s="278"/>
      <c r="D70" s="278"/>
      <c r="E70" s="252"/>
      <c r="F70" s="241" t="s">
        <v>1204</v>
      </c>
      <c r="G70" s="252" t="s">
        <v>1204</v>
      </c>
      <c r="H70" s="136">
        <v>2562</v>
      </c>
      <c r="I70" s="136">
        <v>2563</v>
      </c>
      <c r="J70" s="136">
        <v>2564</v>
      </c>
      <c r="K70" s="136" t="s">
        <v>1537</v>
      </c>
      <c r="L70" s="136" t="s">
        <v>4</v>
      </c>
      <c r="M70" s="136" t="s">
        <v>1538</v>
      </c>
      <c r="N70" s="277" t="s">
        <v>1286</v>
      </c>
      <c r="O70" s="279"/>
      <c r="P70" s="258" t="s">
        <v>5</v>
      </c>
      <c r="Q70" s="241" t="s">
        <v>1208</v>
      </c>
      <c r="R70" s="241" t="s">
        <v>5</v>
      </c>
      <c r="S70" s="259" t="s">
        <v>1208</v>
      </c>
      <c r="T70" s="277" t="s">
        <v>5</v>
      </c>
      <c r="U70" s="277" t="s">
        <v>1208</v>
      </c>
      <c r="V70" s="277" t="s">
        <v>5</v>
      </c>
      <c r="W70" s="280" t="s">
        <v>1208</v>
      </c>
      <c r="X70" s="276"/>
      <c r="AB70" s="149" t="s">
        <v>1494</v>
      </c>
      <c r="AC70" s="149" t="s">
        <v>1207</v>
      </c>
    </row>
    <row r="71" spans="1:31" ht="15">
      <c r="A71" s="140">
        <v>10949</v>
      </c>
      <c r="B71" s="225">
        <v>65</v>
      </c>
      <c r="C71" s="225"/>
      <c r="D71" s="187" t="s">
        <v>432</v>
      </c>
      <c r="E71" s="187"/>
      <c r="F71" s="225">
        <v>1</v>
      </c>
      <c r="G71" s="140" t="s">
        <v>1240</v>
      </c>
      <c r="H71" s="140">
        <v>73</v>
      </c>
      <c r="I71" s="140">
        <v>59</v>
      </c>
      <c r="J71" s="143">
        <f t="shared" si="40"/>
        <v>79.19999999999999</v>
      </c>
      <c r="K71" s="142">
        <v>80</v>
      </c>
      <c r="L71" s="140">
        <v>0</v>
      </c>
      <c r="M71" s="142">
        <f t="shared" si="41"/>
        <v>80</v>
      </c>
      <c r="N71" s="140">
        <v>46.01</v>
      </c>
      <c r="O71" s="159">
        <f t="shared" si="10"/>
        <v>3680.7999999999997</v>
      </c>
      <c r="P71" s="140">
        <v>20</v>
      </c>
      <c r="Q71" s="151">
        <f t="shared" si="43"/>
        <v>920.1999999999999</v>
      </c>
      <c r="R71" s="140">
        <v>20</v>
      </c>
      <c r="S71" s="280">
        <f t="shared" si="44"/>
        <v>920.1999999999999</v>
      </c>
      <c r="T71" s="140">
        <v>20</v>
      </c>
      <c r="U71" s="281">
        <f t="shared" si="45"/>
        <v>920.1999999999999</v>
      </c>
      <c r="V71" s="140">
        <v>20</v>
      </c>
      <c r="W71" s="140">
        <f t="shared" si="46"/>
        <v>920.1999999999999</v>
      </c>
      <c r="X71" s="146"/>
      <c r="Y71" s="269">
        <f t="shared" si="47"/>
        <v>0</v>
      </c>
      <c r="Z71" s="269">
        <f t="shared" si="48"/>
        <v>80</v>
      </c>
      <c r="AA71" s="149">
        <f t="shared" si="49"/>
        <v>20</v>
      </c>
      <c r="AB71" s="149">
        <v>66</v>
      </c>
      <c r="AC71" s="149">
        <v>1840.4</v>
      </c>
      <c r="AD71" s="149">
        <f t="shared" si="39"/>
        <v>27.884848484848487</v>
      </c>
      <c r="AE71" s="150">
        <f t="shared" si="42"/>
        <v>79.19999999999999</v>
      </c>
    </row>
    <row r="72" spans="1:31" ht="15">
      <c r="A72" s="140">
        <v>10949</v>
      </c>
      <c r="B72" s="221">
        <v>66</v>
      </c>
      <c r="C72" s="221"/>
      <c r="D72" s="187" t="s">
        <v>342</v>
      </c>
      <c r="E72" s="187"/>
      <c r="F72" s="225">
        <v>1</v>
      </c>
      <c r="G72" s="140" t="s">
        <v>1240</v>
      </c>
      <c r="H72" s="140">
        <v>884</v>
      </c>
      <c r="I72" s="143">
        <v>837</v>
      </c>
      <c r="J72" s="143">
        <f t="shared" si="40"/>
        <v>847.1999999999999</v>
      </c>
      <c r="K72" s="142">
        <v>900</v>
      </c>
      <c r="L72" s="140">
        <v>100</v>
      </c>
      <c r="M72" s="142">
        <f t="shared" si="41"/>
        <v>800</v>
      </c>
      <c r="N72" s="140">
        <v>46.01</v>
      </c>
      <c r="O72" s="159">
        <f aca="true" t="shared" si="50" ref="O72:O119">N72*M72</f>
        <v>36808</v>
      </c>
      <c r="P72" s="140">
        <v>200</v>
      </c>
      <c r="Q72" s="151">
        <f t="shared" si="43"/>
        <v>9202</v>
      </c>
      <c r="R72" s="225">
        <v>200</v>
      </c>
      <c r="S72" s="280">
        <f t="shared" si="44"/>
        <v>9202</v>
      </c>
      <c r="T72" s="280">
        <v>200</v>
      </c>
      <c r="U72" s="281">
        <f t="shared" si="45"/>
        <v>9202</v>
      </c>
      <c r="V72" s="140">
        <v>200</v>
      </c>
      <c r="W72" s="140">
        <f t="shared" si="46"/>
        <v>9202</v>
      </c>
      <c r="X72" s="146"/>
      <c r="Y72" s="269">
        <f t="shared" si="47"/>
        <v>0</v>
      </c>
      <c r="Z72" s="269">
        <f t="shared" si="48"/>
        <v>800</v>
      </c>
      <c r="AA72" s="149">
        <f t="shared" si="49"/>
        <v>200</v>
      </c>
      <c r="AB72" s="149">
        <v>706</v>
      </c>
      <c r="AC72" s="149">
        <v>34047.399999999994</v>
      </c>
      <c r="AD72" s="149">
        <f t="shared" si="39"/>
        <v>48.225779036827184</v>
      </c>
      <c r="AE72" s="150">
        <f t="shared" si="42"/>
        <v>847.1999999999999</v>
      </c>
    </row>
    <row r="73" spans="1:31" ht="15">
      <c r="A73" s="140">
        <v>10949</v>
      </c>
      <c r="B73" s="225">
        <v>67</v>
      </c>
      <c r="C73" s="221"/>
      <c r="D73" s="187" t="s">
        <v>343</v>
      </c>
      <c r="E73" s="187"/>
      <c r="F73" s="225">
        <v>1</v>
      </c>
      <c r="G73" s="140" t="s">
        <v>1240</v>
      </c>
      <c r="H73" s="140">
        <v>10</v>
      </c>
      <c r="I73" s="143">
        <v>12</v>
      </c>
      <c r="J73" s="143">
        <f t="shared" si="40"/>
        <v>24</v>
      </c>
      <c r="K73" s="142">
        <v>25</v>
      </c>
      <c r="L73" s="140">
        <v>5</v>
      </c>
      <c r="M73" s="142">
        <f t="shared" si="41"/>
        <v>20</v>
      </c>
      <c r="N73" s="140">
        <v>46.01</v>
      </c>
      <c r="O73" s="159">
        <f t="shared" si="50"/>
        <v>920.1999999999999</v>
      </c>
      <c r="P73" s="225">
        <v>0</v>
      </c>
      <c r="Q73" s="151">
        <f t="shared" si="43"/>
        <v>0</v>
      </c>
      <c r="R73" s="225">
        <v>20</v>
      </c>
      <c r="S73" s="280">
        <f t="shared" si="44"/>
        <v>920.1999999999999</v>
      </c>
      <c r="T73" s="280">
        <v>0</v>
      </c>
      <c r="U73" s="281">
        <f t="shared" si="45"/>
        <v>0</v>
      </c>
      <c r="V73" s="140">
        <v>0</v>
      </c>
      <c r="W73" s="140">
        <f t="shared" si="46"/>
        <v>0</v>
      </c>
      <c r="X73" s="146"/>
      <c r="Y73" s="269">
        <f t="shared" si="47"/>
        <v>0</v>
      </c>
      <c r="Z73" s="269">
        <f t="shared" si="48"/>
        <v>20</v>
      </c>
      <c r="AA73" s="149">
        <f t="shared" si="49"/>
        <v>5</v>
      </c>
      <c r="AB73" s="149">
        <v>20</v>
      </c>
      <c r="AC73" s="149">
        <v>920.2</v>
      </c>
      <c r="AD73" s="149">
        <f t="shared" si="39"/>
        <v>46.010000000000005</v>
      </c>
      <c r="AE73" s="150">
        <f t="shared" si="42"/>
        <v>24</v>
      </c>
    </row>
    <row r="74" spans="1:31" ht="15">
      <c r="A74" s="140">
        <v>10949</v>
      </c>
      <c r="B74" s="221">
        <v>68</v>
      </c>
      <c r="C74" s="221"/>
      <c r="D74" s="187" t="s">
        <v>344</v>
      </c>
      <c r="E74" s="187"/>
      <c r="F74" s="225">
        <v>1</v>
      </c>
      <c r="G74" s="140" t="s">
        <v>1240</v>
      </c>
      <c r="H74" s="140">
        <v>449</v>
      </c>
      <c r="I74" s="143">
        <v>316</v>
      </c>
      <c r="J74" s="143">
        <f t="shared" si="40"/>
        <v>175.2</v>
      </c>
      <c r="K74" s="142">
        <v>330</v>
      </c>
      <c r="L74" s="140">
        <v>50</v>
      </c>
      <c r="M74" s="142">
        <f t="shared" si="41"/>
        <v>280</v>
      </c>
      <c r="N74" s="140">
        <v>46.01</v>
      </c>
      <c r="O74" s="159">
        <f t="shared" si="50"/>
        <v>12882.8</v>
      </c>
      <c r="P74" s="140">
        <v>80</v>
      </c>
      <c r="Q74" s="151">
        <f t="shared" si="43"/>
        <v>3680.7999999999997</v>
      </c>
      <c r="R74" s="225">
        <v>80</v>
      </c>
      <c r="S74" s="280">
        <f t="shared" si="44"/>
        <v>3680.7999999999997</v>
      </c>
      <c r="T74" s="280">
        <v>80</v>
      </c>
      <c r="U74" s="281">
        <f t="shared" si="45"/>
        <v>3680.7999999999997</v>
      </c>
      <c r="V74" s="140">
        <v>40</v>
      </c>
      <c r="W74" s="140">
        <f t="shared" si="46"/>
        <v>1840.3999999999999</v>
      </c>
      <c r="X74" s="146"/>
      <c r="Y74" s="269">
        <f t="shared" si="47"/>
        <v>0</v>
      </c>
      <c r="Z74" s="269">
        <f t="shared" si="48"/>
        <v>280</v>
      </c>
      <c r="AA74" s="149">
        <f t="shared" si="49"/>
        <v>70</v>
      </c>
      <c r="AB74" s="149">
        <v>146</v>
      </c>
      <c r="AC74" s="149">
        <v>8741.869999999999</v>
      </c>
      <c r="AD74" s="149">
        <f t="shared" si="39"/>
        <v>59.87582191780821</v>
      </c>
      <c r="AE74" s="150">
        <f t="shared" si="42"/>
        <v>175.2</v>
      </c>
    </row>
    <row r="75" spans="1:31" ht="15">
      <c r="A75" s="140">
        <v>10949</v>
      </c>
      <c r="B75" s="225">
        <v>69</v>
      </c>
      <c r="C75" s="225"/>
      <c r="D75" s="187" t="s">
        <v>345</v>
      </c>
      <c r="E75" s="187"/>
      <c r="F75" s="225">
        <v>1</v>
      </c>
      <c r="G75" s="140" t="s">
        <v>1240</v>
      </c>
      <c r="H75" s="140">
        <v>140</v>
      </c>
      <c r="I75" s="143">
        <v>113</v>
      </c>
      <c r="J75" s="143">
        <f t="shared" si="40"/>
        <v>108</v>
      </c>
      <c r="K75" s="142">
        <v>120</v>
      </c>
      <c r="L75" s="140">
        <v>20</v>
      </c>
      <c r="M75" s="142">
        <f t="shared" si="41"/>
        <v>100</v>
      </c>
      <c r="N75" s="140">
        <v>46.01</v>
      </c>
      <c r="O75" s="159">
        <f t="shared" si="50"/>
        <v>4601</v>
      </c>
      <c r="P75" s="140">
        <v>30</v>
      </c>
      <c r="Q75" s="151">
        <f t="shared" si="43"/>
        <v>1380.3</v>
      </c>
      <c r="R75" s="225">
        <v>20</v>
      </c>
      <c r="S75" s="280">
        <f t="shared" si="44"/>
        <v>920.1999999999999</v>
      </c>
      <c r="T75" s="280">
        <v>30</v>
      </c>
      <c r="U75" s="281">
        <f t="shared" si="45"/>
        <v>1380.3</v>
      </c>
      <c r="V75" s="140">
        <v>20</v>
      </c>
      <c r="W75" s="140">
        <f t="shared" si="46"/>
        <v>920.1999999999999</v>
      </c>
      <c r="X75" s="146"/>
      <c r="Y75" s="269">
        <f t="shared" si="47"/>
        <v>0</v>
      </c>
      <c r="Z75" s="269">
        <f t="shared" si="48"/>
        <v>100</v>
      </c>
      <c r="AA75" s="149">
        <f t="shared" si="49"/>
        <v>25</v>
      </c>
      <c r="AB75" s="149">
        <v>90</v>
      </c>
      <c r="AC75" s="149">
        <v>4140.9</v>
      </c>
      <c r="AD75" s="149">
        <f t="shared" si="39"/>
        <v>46.01</v>
      </c>
      <c r="AE75" s="150">
        <f t="shared" si="42"/>
        <v>108</v>
      </c>
    </row>
    <row r="76" spans="1:31" ht="15">
      <c r="A76" s="140">
        <v>10949</v>
      </c>
      <c r="B76" s="221">
        <v>70</v>
      </c>
      <c r="C76" s="221"/>
      <c r="D76" s="187" t="s">
        <v>455</v>
      </c>
      <c r="E76" s="187"/>
      <c r="F76" s="225">
        <v>1</v>
      </c>
      <c r="G76" s="140" t="s">
        <v>1240</v>
      </c>
      <c r="H76" s="140">
        <v>38</v>
      </c>
      <c r="I76" s="143">
        <v>19</v>
      </c>
      <c r="J76" s="143">
        <v>38</v>
      </c>
      <c r="K76" s="142">
        <v>600</v>
      </c>
      <c r="L76" s="140">
        <v>0</v>
      </c>
      <c r="M76" s="142">
        <f t="shared" si="41"/>
        <v>600</v>
      </c>
      <c r="N76" s="140">
        <v>46.01</v>
      </c>
      <c r="O76" s="159">
        <f t="shared" si="50"/>
        <v>27606</v>
      </c>
      <c r="P76" s="140">
        <v>150</v>
      </c>
      <c r="Q76" s="151">
        <f t="shared" si="43"/>
        <v>6901.5</v>
      </c>
      <c r="R76" s="225">
        <v>150</v>
      </c>
      <c r="S76" s="280">
        <f t="shared" si="44"/>
        <v>6901.5</v>
      </c>
      <c r="T76" s="280">
        <v>150</v>
      </c>
      <c r="U76" s="281">
        <f t="shared" si="45"/>
        <v>6901.5</v>
      </c>
      <c r="V76" s="140">
        <v>150</v>
      </c>
      <c r="W76" s="140">
        <f t="shared" si="46"/>
        <v>6901.5</v>
      </c>
      <c r="X76" s="146"/>
      <c r="Y76" s="269">
        <f t="shared" si="47"/>
        <v>0</v>
      </c>
      <c r="Z76" s="269">
        <f t="shared" si="48"/>
        <v>600</v>
      </c>
      <c r="AA76" s="149">
        <f t="shared" si="49"/>
        <v>150</v>
      </c>
      <c r="AB76" s="149">
        <v>3100</v>
      </c>
      <c r="AC76" s="149">
        <v>0</v>
      </c>
      <c r="AD76" s="149">
        <f t="shared" si="39"/>
        <v>0</v>
      </c>
      <c r="AE76" s="150">
        <f t="shared" si="42"/>
        <v>3720</v>
      </c>
    </row>
    <row r="77" spans="1:31" ht="15">
      <c r="A77" s="140">
        <v>10949</v>
      </c>
      <c r="B77" s="225">
        <v>71</v>
      </c>
      <c r="C77" s="221"/>
      <c r="D77" s="187" t="s">
        <v>346</v>
      </c>
      <c r="E77" s="187"/>
      <c r="F77" s="225">
        <v>1</v>
      </c>
      <c r="G77" s="140" t="s">
        <v>1240</v>
      </c>
      <c r="H77" s="140">
        <v>102</v>
      </c>
      <c r="I77" s="143">
        <v>77</v>
      </c>
      <c r="J77" s="143">
        <f t="shared" si="40"/>
        <v>48</v>
      </c>
      <c r="K77" s="142">
        <v>80</v>
      </c>
      <c r="L77" s="140">
        <v>40</v>
      </c>
      <c r="M77" s="142">
        <f t="shared" si="41"/>
        <v>40</v>
      </c>
      <c r="N77" s="140">
        <v>46.01</v>
      </c>
      <c r="O77" s="159">
        <f t="shared" si="50"/>
        <v>1840.3999999999999</v>
      </c>
      <c r="P77" s="140">
        <v>0</v>
      </c>
      <c r="Q77" s="151">
        <f t="shared" si="43"/>
        <v>0</v>
      </c>
      <c r="R77" s="225">
        <v>20</v>
      </c>
      <c r="S77" s="280">
        <f t="shared" si="44"/>
        <v>920.1999999999999</v>
      </c>
      <c r="T77" s="280">
        <v>0</v>
      </c>
      <c r="U77" s="281">
        <f t="shared" si="45"/>
        <v>0</v>
      </c>
      <c r="V77" s="140">
        <v>20</v>
      </c>
      <c r="W77" s="140">
        <f t="shared" si="46"/>
        <v>920.1999999999999</v>
      </c>
      <c r="X77" s="146"/>
      <c r="Y77" s="269">
        <f t="shared" si="47"/>
        <v>0</v>
      </c>
      <c r="Z77" s="269">
        <f t="shared" si="48"/>
        <v>40</v>
      </c>
      <c r="AA77" s="149">
        <f t="shared" si="49"/>
        <v>10</v>
      </c>
      <c r="AB77" s="149">
        <v>40</v>
      </c>
      <c r="AC77" s="149">
        <v>1840.4</v>
      </c>
      <c r="AD77" s="149">
        <f t="shared" si="39"/>
        <v>46.010000000000005</v>
      </c>
      <c r="AE77" s="150">
        <f t="shared" si="42"/>
        <v>48</v>
      </c>
    </row>
    <row r="78" spans="1:31" ht="15">
      <c r="A78" s="140">
        <v>10949</v>
      </c>
      <c r="B78" s="221">
        <v>72</v>
      </c>
      <c r="C78" s="221"/>
      <c r="D78" s="187" t="s">
        <v>1512</v>
      </c>
      <c r="E78" s="187"/>
      <c r="F78" s="225">
        <v>1</v>
      </c>
      <c r="G78" s="140" t="s">
        <v>407</v>
      </c>
      <c r="H78" s="140">
        <v>0</v>
      </c>
      <c r="I78" s="143">
        <v>14250</v>
      </c>
      <c r="J78" s="143">
        <f t="shared" si="40"/>
        <v>23184</v>
      </c>
      <c r="K78" s="142">
        <v>20000</v>
      </c>
      <c r="L78" s="140">
        <v>10000</v>
      </c>
      <c r="M78" s="142">
        <v>5000</v>
      </c>
      <c r="N78" s="140">
        <v>5</v>
      </c>
      <c r="O78" s="159">
        <f t="shared" si="50"/>
        <v>25000</v>
      </c>
      <c r="P78" s="140">
        <v>1200</v>
      </c>
      <c r="Q78" s="151">
        <f t="shared" si="43"/>
        <v>6000</v>
      </c>
      <c r="R78" s="225">
        <v>1300</v>
      </c>
      <c r="S78" s="280">
        <f t="shared" si="44"/>
        <v>6500</v>
      </c>
      <c r="T78" s="280">
        <v>1200</v>
      </c>
      <c r="U78" s="281">
        <f t="shared" si="45"/>
        <v>6000</v>
      </c>
      <c r="V78" s="140">
        <v>1300</v>
      </c>
      <c r="W78" s="140">
        <f t="shared" si="46"/>
        <v>6500</v>
      </c>
      <c r="X78" s="146"/>
      <c r="Y78" s="269">
        <f>M78-Z78</f>
        <v>0</v>
      </c>
      <c r="Z78" s="269">
        <f>P78+R78+T78+V78</f>
        <v>5000</v>
      </c>
      <c r="AA78" s="149">
        <f>M78/4</f>
        <v>1250</v>
      </c>
      <c r="AB78" s="149">
        <v>19320</v>
      </c>
      <c r="AC78" s="149">
        <v>63682.5</v>
      </c>
      <c r="AD78" s="149">
        <f t="shared" si="39"/>
        <v>3.296195652173913</v>
      </c>
      <c r="AE78" s="150">
        <f t="shared" si="42"/>
        <v>23184</v>
      </c>
    </row>
    <row r="79" spans="1:31" ht="15">
      <c r="A79" s="140">
        <v>10949</v>
      </c>
      <c r="B79" s="225">
        <v>73</v>
      </c>
      <c r="C79" s="221"/>
      <c r="D79" s="187" t="s">
        <v>1377</v>
      </c>
      <c r="E79" s="187"/>
      <c r="F79" s="225">
        <v>1</v>
      </c>
      <c r="G79" s="140" t="s">
        <v>409</v>
      </c>
      <c r="H79" s="140">
        <v>156</v>
      </c>
      <c r="I79" s="143">
        <v>89</v>
      </c>
      <c r="J79" s="143">
        <f t="shared" si="40"/>
        <v>216</v>
      </c>
      <c r="K79" s="142">
        <v>220</v>
      </c>
      <c r="L79" s="271">
        <v>40</v>
      </c>
      <c r="M79" s="142">
        <f t="shared" si="41"/>
        <v>180</v>
      </c>
      <c r="N79" s="282">
        <v>25.7693</v>
      </c>
      <c r="O79" s="159">
        <f t="shared" si="50"/>
        <v>4638.474</v>
      </c>
      <c r="P79" s="140">
        <v>36</v>
      </c>
      <c r="Q79" s="151">
        <f t="shared" si="43"/>
        <v>927.6948</v>
      </c>
      <c r="R79" s="225">
        <v>72</v>
      </c>
      <c r="S79" s="280">
        <f t="shared" si="44"/>
        <v>1855.3896</v>
      </c>
      <c r="T79" s="280">
        <v>0</v>
      </c>
      <c r="U79" s="281">
        <f t="shared" si="45"/>
        <v>0</v>
      </c>
      <c r="V79" s="140">
        <v>72</v>
      </c>
      <c r="W79" s="140">
        <f t="shared" si="46"/>
        <v>1855.3896</v>
      </c>
      <c r="X79" s="146"/>
      <c r="Y79" s="269">
        <f t="shared" si="47"/>
        <v>0</v>
      </c>
      <c r="Z79" s="269">
        <f t="shared" si="48"/>
        <v>180</v>
      </c>
      <c r="AA79" s="149">
        <f t="shared" si="49"/>
        <v>45</v>
      </c>
      <c r="AB79" s="149">
        <f>5*36</f>
        <v>180</v>
      </c>
      <c r="AC79" s="149">
        <v>4638.450000000001</v>
      </c>
      <c r="AD79" s="149">
        <f t="shared" si="39"/>
        <v>25.76916666666667</v>
      </c>
      <c r="AE79" s="150">
        <f t="shared" si="42"/>
        <v>216</v>
      </c>
    </row>
    <row r="80" spans="1:31" ht="15">
      <c r="A80" s="140">
        <v>10949</v>
      </c>
      <c r="B80" s="221">
        <v>74</v>
      </c>
      <c r="C80" s="221"/>
      <c r="D80" s="187" t="s">
        <v>1378</v>
      </c>
      <c r="E80" s="187"/>
      <c r="F80" s="225">
        <v>1</v>
      </c>
      <c r="G80" s="140" t="s">
        <v>409</v>
      </c>
      <c r="H80" s="140">
        <v>1084</v>
      </c>
      <c r="I80" s="143">
        <v>1001</v>
      </c>
      <c r="J80" s="143">
        <f t="shared" si="40"/>
        <v>1166.4</v>
      </c>
      <c r="K80" s="142">
        <v>1200</v>
      </c>
      <c r="L80" s="271">
        <v>300</v>
      </c>
      <c r="M80" s="142">
        <f t="shared" si="41"/>
        <v>900</v>
      </c>
      <c r="N80" s="282">
        <v>25.76917</v>
      </c>
      <c r="O80" s="159">
        <f t="shared" si="50"/>
        <v>23192.253</v>
      </c>
      <c r="P80" s="140">
        <v>216</v>
      </c>
      <c r="Q80" s="151">
        <f t="shared" si="43"/>
        <v>5566.140719999999</v>
      </c>
      <c r="R80" s="225">
        <v>216</v>
      </c>
      <c r="S80" s="280">
        <f t="shared" si="44"/>
        <v>5566.140719999999</v>
      </c>
      <c r="T80" s="280">
        <v>252</v>
      </c>
      <c r="U80" s="281">
        <f t="shared" si="45"/>
        <v>6493.83084</v>
      </c>
      <c r="V80" s="140">
        <v>216</v>
      </c>
      <c r="W80" s="140">
        <f t="shared" si="46"/>
        <v>5566.140719999999</v>
      </c>
      <c r="X80" s="146"/>
      <c r="Y80" s="269">
        <f t="shared" si="47"/>
        <v>0</v>
      </c>
      <c r="Z80" s="269">
        <f t="shared" si="48"/>
        <v>900</v>
      </c>
      <c r="AA80" s="149">
        <f t="shared" si="49"/>
        <v>225</v>
      </c>
      <c r="AB80" s="149">
        <f>27*36</f>
        <v>972</v>
      </c>
      <c r="AC80" s="149">
        <v>25047.630000000005</v>
      </c>
      <c r="AD80" s="149">
        <f t="shared" si="39"/>
        <v>25.76916666666667</v>
      </c>
      <c r="AE80" s="150">
        <f t="shared" si="42"/>
        <v>1166.4</v>
      </c>
    </row>
    <row r="81" spans="1:31" ht="15">
      <c r="A81" s="140">
        <v>10949</v>
      </c>
      <c r="B81" s="225">
        <v>75</v>
      </c>
      <c r="C81" s="225"/>
      <c r="D81" s="187" t="s">
        <v>1379</v>
      </c>
      <c r="E81" s="187"/>
      <c r="F81" s="225">
        <v>1</v>
      </c>
      <c r="G81" s="140" t="s">
        <v>409</v>
      </c>
      <c r="H81" s="140">
        <v>768</v>
      </c>
      <c r="I81" s="143">
        <v>643</v>
      </c>
      <c r="J81" s="143">
        <f t="shared" si="40"/>
        <v>1080</v>
      </c>
      <c r="K81" s="142">
        <v>1100</v>
      </c>
      <c r="L81" s="271">
        <v>128</v>
      </c>
      <c r="M81" s="142">
        <f t="shared" si="41"/>
        <v>972</v>
      </c>
      <c r="N81" s="282">
        <v>26.66085</v>
      </c>
      <c r="O81" s="159">
        <f t="shared" si="50"/>
        <v>25914.3462</v>
      </c>
      <c r="P81" s="140">
        <v>252</v>
      </c>
      <c r="Q81" s="151">
        <f t="shared" si="43"/>
        <v>6718.5342</v>
      </c>
      <c r="R81" s="225">
        <v>252</v>
      </c>
      <c r="S81" s="280">
        <f t="shared" si="44"/>
        <v>6718.5342</v>
      </c>
      <c r="T81" s="280">
        <v>216</v>
      </c>
      <c r="U81" s="281">
        <f t="shared" si="45"/>
        <v>5758.7436</v>
      </c>
      <c r="V81" s="140">
        <v>252</v>
      </c>
      <c r="W81" s="140">
        <f t="shared" si="46"/>
        <v>6718.5342</v>
      </c>
      <c r="X81" s="146"/>
      <c r="Y81" s="269">
        <f t="shared" si="47"/>
        <v>0</v>
      </c>
      <c r="Z81" s="269">
        <f t="shared" si="48"/>
        <v>972</v>
      </c>
      <c r="AA81" s="149">
        <f t="shared" si="49"/>
        <v>243</v>
      </c>
      <c r="AB81" s="149">
        <f>25*36</f>
        <v>900</v>
      </c>
      <c r="AC81" s="149">
        <v>21597.9</v>
      </c>
      <c r="AD81" s="149">
        <f t="shared" si="39"/>
        <v>23.997666666666667</v>
      </c>
      <c r="AE81" s="150">
        <f t="shared" si="42"/>
        <v>1080</v>
      </c>
    </row>
    <row r="82" spans="1:31" ht="15">
      <c r="A82" s="140">
        <v>10949</v>
      </c>
      <c r="B82" s="221">
        <v>76</v>
      </c>
      <c r="C82" s="221"/>
      <c r="D82" s="187" t="s">
        <v>1380</v>
      </c>
      <c r="E82" s="187"/>
      <c r="F82" s="225">
        <v>1</v>
      </c>
      <c r="G82" s="140" t="s">
        <v>409</v>
      </c>
      <c r="H82" s="140">
        <v>286</v>
      </c>
      <c r="I82" s="143">
        <v>219</v>
      </c>
      <c r="J82" s="143">
        <f t="shared" si="40"/>
        <v>172.8</v>
      </c>
      <c r="K82" s="142">
        <v>240</v>
      </c>
      <c r="L82" s="271">
        <v>60</v>
      </c>
      <c r="M82" s="142">
        <f t="shared" si="41"/>
        <v>180</v>
      </c>
      <c r="N82" s="282">
        <v>27.6417</v>
      </c>
      <c r="O82" s="159">
        <f t="shared" si="50"/>
        <v>4975.506</v>
      </c>
      <c r="P82" s="140">
        <v>0</v>
      </c>
      <c r="Q82" s="151">
        <f t="shared" si="43"/>
        <v>0</v>
      </c>
      <c r="R82" s="225">
        <v>72</v>
      </c>
      <c r="S82" s="280">
        <f t="shared" si="44"/>
        <v>1990.2024000000001</v>
      </c>
      <c r="T82" s="280">
        <v>72</v>
      </c>
      <c r="U82" s="281">
        <f t="shared" si="45"/>
        <v>1990.2024000000001</v>
      </c>
      <c r="V82" s="140">
        <v>36</v>
      </c>
      <c r="W82" s="140">
        <f t="shared" si="46"/>
        <v>995.1012000000001</v>
      </c>
      <c r="X82" s="146"/>
      <c r="Y82" s="269">
        <f t="shared" si="47"/>
        <v>0</v>
      </c>
      <c r="Z82" s="269">
        <f t="shared" si="48"/>
        <v>180</v>
      </c>
      <c r="AA82" s="149">
        <f t="shared" si="49"/>
        <v>45</v>
      </c>
      <c r="AB82" s="149">
        <f>4*36</f>
        <v>144</v>
      </c>
      <c r="AC82" s="149">
        <v>3980.4</v>
      </c>
      <c r="AD82" s="149">
        <f t="shared" si="39"/>
        <v>27.641666666666666</v>
      </c>
      <c r="AE82" s="150">
        <f t="shared" si="42"/>
        <v>172.8</v>
      </c>
    </row>
    <row r="83" spans="1:31" ht="15">
      <c r="A83" s="140">
        <v>10949</v>
      </c>
      <c r="B83" s="225">
        <v>77</v>
      </c>
      <c r="C83" s="221"/>
      <c r="D83" s="187" t="s">
        <v>1381</v>
      </c>
      <c r="E83" s="187"/>
      <c r="F83" s="225">
        <v>1</v>
      </c>
      <c r="G83" s="140" t="s">
        <v>409</v>
      </c>
      <c r="H83" s="140">
        <v>36</v>
      </c>
      <c r="I83" s="143">
        <v>0</v>
      </c>
      <c r="J83" s="143">
        <f t="shared" si="40"/>
        <v>0</v>
      </c>
      <c r="K83" s="142">
        <v>13</v>
      </c>
      <c r="L83" s="271">
        <v>57</v>
      </c>
      <c r="M83" s="142">
        <v>0</v>
      </c>
      <c r="N83" s="282">
        <v>72.22521739130435</v>
      </c>
      <c r="O83" s="159">
        <f t="shared" si="50"/>
        <v>0</v>
      </c>
      <c r="P83" s="140">
        <v>0</v>
      </c>
      <c r="Q83" s="151">
        <f t="shared" si="43"/>
        <v>0</v>
      </c>
      <c r="R83" s="225">
        <v>0</v>
      </c>
      <c r="S83" s="280">
        <f t="shared" si="44"/>
        <v>0</v>
      </c>
      <c r="T83" s="280">
        <v>0</v>
      </c>
      <c r="U83" s="281">
        <f t="shared" si="45"/>
        <v>0</v>
      </c>
      <c r="V83" s="140">
        <v>0</v>
      </c>
      <c r="W83" s="140">
        <f t="shared" si="46"/>
        <v>0</v>
      </c>
      <c r="X83" s="146"/>
      <c r="Y83" s="269">
        <f t="shared" si="47"/>
        <v>0</v>
      </c>
      <c r="Z83" s="269">
        <f t="shared" si="48"/>
        <v>0</v>
      </c>
      <c r="AA83" s="149">
        <f t="shared" si="49"/>
        <v>0</v>
      </c>
      <c r="AD83" s="149" t="e">
        <f t="shared" si="39"/>
        <v>#DIV/0!</v>
      </c>
      <c r="AE83" s="150">
        <f t="shared" si="42"/>
        <v>0</v>
      </c>
    </row>
    <row r="84" spans="1:31" ht="15">
      <c r="A84" s="140">
        <v>10949</v>
      </c>
      <c r="B84" s="221">
        <v>78</v>
      </c>
      <c r="C84" s="221"/>
      <c r="D84" s="187" t="s">
        <v>413</v>
      </c>
      <c r="E84" s="187"/>
      <c r="F84" s="225">
        <v>1</v>
      </c>
      <c r="G84" s="140" t="s">
        <v>409</v>
      </c>
      <c r="H84" s="140">
        <v>0</v>
      </c>
      <c r="I84" s="143">
        <v>0</v>
      </c>
      <c r="J84" s="143">
        <f t="shared" si="40"/>
        <v>0</v>
      </c>
      <c r="K84" s="142">
        <v>0</v>
      </c>
      <c r="L84" s="140">
        <v>14</v>
      </c>
      <c r="M84" s="142">
        <v>0</v>
      </c>
      <c r="N84" s="282">
        <v>90.95</v>
      </c>
      <c r="O84" s="159">
        <f t="shared" si="50"/>
        <v>0</v>
      </c>
      <c r="P84" s="140">
        <v>0</v>
      </c>
      <c r="Q84" s="151">
        <f t="shared" si="43"/>
        <v>0</v>
      </c>
      <c r="R84" s="225">
        <v>0</v>
      </c>
      <c r="S84" s="280">
        <f t="shared" si="44"/>
        <v>0</v>
      </c>
      <c r="T84" s="280">
        <v>0</v>
      </c>
      <c r="U84" s="281">
        <f t="shared" si="45"/>
        <v>0</v>
      </c>
      <c r="V84" s="140">
        <v>0</v>
      </c>
      <c r="W84" s="140">
        <f t="shared" si="46"/>
        <v>0</v>
      </c>
      <c r="X84" s="146"/>
      <c r="Y84" s="269">
        <f t="shared" si="47"/>
        <v>0</v>
      </c>
      <c r="Z84" s="269">
        <f t="shared" si="48"/>
        <v>0</v>
      </c>
      <c r="AA84" s="149">
        <f t="shared" si="49"/>
        <v>0</v>
      </c>
      <c r="AD84" s="149" t="e">
        <f t="shared" si="39"/>
        <v>#DIV/0!</v>
      </c>
      <c r="AE84" s="150">
        <f t="shared" si="42"/>
        <v>0</v>
      </c>
    </row>
    <row r="85" spans="1:31" ht="15">
      <c r="A85" s="140">
        <v>10949</v>
      </c>
      <c r="B85" s="225">
        <v>79</v>
      </c>
      <c r="C85" s="221"/>
      <c r="D85" s="187" t="s">
        <v>347</v>
      </c>
      <c r="E85" s="187"/>
      <c r="F85" s="225">
        <v>1</v>
      </c>
      <c r="G85" s="140" t="s">
        <v>411</v>
      </c>
      <c r="H85" s="140">
        <v>48</v>
      </c>
      <c r="I85" s="143">
        <v>24</v>
      </c>
      <c r="J85" s="143">
        <f t="shared" si="40"/>
        <v>57.599999999999994</v>
      </c>
      <c r="K85" s="142">
        <v>60</v>
      </c>
      <c r="L85" s="140">
        <v>12</v>
      </c>
      <c r="M85" s="142">
        <f t="shared" si="41"/>
        <v>48</v>
      </c>
      <c r="N85" s="140">
        <v>15.379999999999997</v>
      </c>
      <c r="O85" s="159">
        <f t="shared" si="50"/>
        <v>738.2399999999999</v>
      </c>
      <c r="P85" s="225">
        <v>0</v>
      </c>
      <c r="Q85" s="151">
        <f t="shared" si="43"/>
        <v>0</v>
      </c>
      <c r="R85" s="225">
        <v>24</v>
      </c>
      <c r="S85" s="280">
        <f t="shared" si="44"/>
        <v>369.11999999999995</v>
      </c>
      <c r="T85" s="280">
        <v>0</v>
      </c>
      <c r="U85" s="281">
        <f t="shared" si="45"/>
        <v>0</v>
      </c>
      <c r="V85" s="281">
        <v>24</v>
      </c>
      <c r="W85" s="140">
        <f t="shared" si="46"/>
        <v>369.11999999999995</v>
      </c>
      <c r="X85" s="146"/>
      <c r="Y85" s="269">
        <f t="shared" si="47"/>
        <v>0</v>
      </c>
      <c r="Z85" s="269">
        <f t="shared" si="48"/>
        <v>48</v>
      </c>
      <c r="AA85" s="149">
        <f t="shared" si="49"/>
        <v>12</v>
      </c>
      <c r="AB85" s="149">
        <v>48</v>
      </c>
      <c r="AC85" s="149">
        <v>839.04</v>
      </c>
      <c r="AD85" s="149">
        <f t="shared" si="39"/>
        <v>17.48</v>
      </c>
      <c r="AE85" s="150">
        <f t="shared" si="42"/>
        <v>57.599999999999994</v>
      </c>
    </row>
    <row r="86" spans="1:31" ht="15">
      <c r="A86" s="140">
        <v>10949</v>
      </c>
      <c r="B86" s="221">
        <v>80</v>
      </c>
      <c r="C86" s="225"/>
      <c r="D86" s="187" t="s">
        <v>348</v>
      </c>
      <c r="E86" s="187"/>
      <c r="F86" s="225">
        <v>1</v>
      </c>
      <c r="G86" s="140" t="s">
        <v>411</v>
      </c>
      <c r="H86" s="140">
        <v>163</v>
      </c>
      <c r="I86" s="143">
        <v>189</v>
      </c>
      <c r="J86" s="143">
        <f t="shared" si="40"/>
        <v>57.599999999999994</v>
      </c>
      <c r="K86" s="142">
        <v>143</v>
      </c>
      <c r="L86" s="140">
        <v>23</v>
      </c>
      <c r="M86" s="142">
        <f t="shared" si="41"/>
        <v>120</v>
      </c>
      <c r="N86" s="140">
        <v>47.846</v>
      </c>
      <c r="O86" s="159">
        <f t="shared" si="50"/>
        <v>5741.5199999999995</v>
      </c>
      <c r="P86" s="140">
        <v>0</v>
      </c>
      <c r="Q86" s="151">
        <f t="shared" si="43"/>
        <v>0</v>
      </c>
      <c r="R86" s="225">
        <v>60</v>
      </c>
      <c r="S86" s="280">
        <f t="shared" si="44"/>
        <v>2870.7599999999998</v>
      </c>
      <c r="T86" s="280">
        <v>0</v>
      </c>
      <c r="U86" s="281">
        <f t="shared" si="45"/>
        <v>0</v>
      </c>
      <c r="V86" s="281">
        <v>60</v>
      </c>
      <c r="W86" s="140">
        <f t="shared" si="46"/>
        <v>2870.7599999999998</v>
      </c>
      <c r="X86" s="146"/>
      <c r="Y86" s="269">
        <f t="shared" si="47"/>
        <v>0</v>
      </c>
      <c r="Z86" s="269">
        <f t="shared" si="48"/>
        <v>120</v>
      </c>
      <c r="AA86" s="149">
        <f t="shared" si="49"/>
        <v>30</v>
      </c>
      <c r="AB86" s="149">
        <v>48</v>
      </c>
      <c r="AC86" s="149">
        <v>1440</v>
      </c>
      <c r="AD86" s="149">
        <f t="shared" si="39"/>
        <v>30</v>
      </c>
      <c r="AE86" s="150">
        <f t="shared" si="42"/>
        <v>57.599999999999994</v>
      </c>
    </row>
    <row r="87" spans="1:31" ht="15">
      <c r="A87" s="140">
        <v>10949</v>
      </c>
      <c r="B87" s="225">
        <v>81</v>
      </c>
      <c r="C87" s="221"/>
      <c r="D87" s="187" t="s">
        <v>349</v>
      </c>
      <c r="E87" s="187"/>
      <c r="F87" s="225">
        <v>1</v>
      </c>
      <c r="G87" s="140" t="s">
        <v>411</v>
      </c>
      <c r="H87" s="140">
        <v>28</v>
      </c>
      <c r="I87" s="143">
        <v>15</v>
      </c>
      <c r="J87" s="143">
        <f t="shared" si="40"/>
        <v>0</v>
      </c>
      <c r="K87" s="142">
        <v>15</v>
      </c>
      <c r="L87" s="140">
        <v>3</v>
      </c>
      <c r="M87" s="142">
        <f t="shared" si="41"/>
        <v>12</v>
      </c>
      <c r="N87" s="140">
        <v>32.1</v>
      </c>
      <c r="O87" s="159">
        <f t="shared" si="50"/>
        <v>385.20000000000005</v>
      </c>
      <c r="P87" s="140">
        <v>12</v>
      </c>
      <c r="Q87" s="151">
        <f t="shared" si="43"/>
        <v>385.20000000000005</v>
      </c>
      <c r="R87" s="225">
        <v>0</v>
      </c>
      <c r="S87" s="280">
        <f t="shared" si="44"/>
        <v>0</v>
      </c>
      <c r="T87" s="280">
        <v>0</v>
      </c>
      <c r="U87" s="281">
        <f t="shared" si="45"/>
        <v>0</v>
      </c>
      <c r="V87" s="281">
        <v>0</v>
      </c>
      <c r="W87" s="140">
        <f t="shared" si="46"/>
        <v>0</v>
      </c>
      <c r="X87" s="146"/>
      <c r="Y87" s="269">
        <f t="shared" si="47"/>
        <v>0</v>
      </c>
      <c r="Z87" s="269">
        <f t="shared" si="48"/>
        <v>12</v>
      </c>
      <c r="AA87" s="149">
        <f t="shared" si="49"/>
        <v>3</v>
      </c>
      <c r="AD87" s="149" t="e">
        <f t="shared" si="39"/>
        <v>#DIV/0!</v>
      </c>
      <c r="AE87" s="150">
        <f t="shared" si="42"/>
        <v>0</v>
      </c>
    </row>
    <row r="88" spans="1:31" ht="16.5" customHeight="1">
      <c r="A88" s="140">
        <v>10949</v>
      </c>
      <c r="B88" s="221">
        <v>82</v>
      </c>
      <c r="C88" s="221"/>
      <c r="D88" s="187" t="s">
        <v>350</v>
      </c>
      <c r="E88" s="187"/>
      <c r="F88" s="225">
        <v>1</v>
      </c>
      <c r="G88" s="140" t="s">
        <v>411</v>
      </c>
      <c r="H88" s="140">
        <v>2844</v>
      </c>
      <c r="I88" s="143">
        <v>2892</v>
      </c>
      <c r="J88" s="143">
        <f t="shared" si="40"/>
        <v>1440</v>
      </c>
      <c r="K88" s="142">
        <v>2800</v>
      </c>
      <c r="L88" s="140">
        <v>0</v>
      </c>
      <c r="M88" s="142">
        <f t="shared" si="41"/>
        <v>2800</v>
      </c>
      <c r="N88" s="140">
        <v>5</v>
      </c>
      <c r="O88" s="159">
        <f t="shared" si="50"/>
        <v>14000</v>
      </c>
      <c r="P88" s="140">
        <v>700</v>
      </c>
      <c r="Q88" s="151">
        <f t="shared" si="43"/>
        <v>3500</v>
      </c>
      <c r="R88" s="225">
        <v>700</v>
      </c>
      <c r="S88" s="280">
        <f t="shared" si="44"/>
        <v>3500</v>
      </c>
      <c r="T88" s="280">
        <v>700</v>
      </c>
      <c r="U88" s="281">
        <f t="shared" si="45"/>
        <v>3500</v>
      </c>
      <c r="V88" s="140">
        <v>700</v>
      </c>
      <c r="W88" s="140">
        <f t="shared" si="46"/>
        <v>3500</v>
      </c>
      <c r="X88" s="146"/>
      <c r="Y88" s="269">
        <f t="shared" si="47"/>
        <v>0</v>
      </c>
      <c r="Z88" s="269">
        <f t="shared" si="48"/>
        <v>2800</v>
      </c>
      <c r="AA88" s="149">
        <f t="shared" si="49"/>
        <v>700</v>
      </c>
      <c r="AB88" s="149">
        <f>100*12</f>
        <v>1200</v>
      </c>
      <c r="AC88" s="149">
        <v>4800</v>
      </c>
      <c r="AD88" s="149">
        <f t="shared" si="39"/>
        <v>4</v>
      </c>
      <c r="AE88" s="150">
        <f t="shared" si="42"/>
        <v>1440</v>
      </c>
    </row>
    <row r="89" spans="1:31" ht="16.5" customHeight="1">
      <c r="A89" s="140">
        <v>10949</v>
      </c>
      <c r="B89" s="225">
        <v>83</v>
      </c>
      <c r="C89" s="221"/>
      <c r="D89" s="187" t="s">
        <v>433</v>
      </c>
      <c r="E89" s="187"/>
      <c r="F89" s="225">
        <v>1</v>
      </c>
      <c r="G89" s="140" t="s">
        <v>409</v>
      </c>
      <c r="H89" s="140">
        <v>20</v>
      </c>
      <c r="I89" s="143">
        <v>5</v>
      </c>
      <c r="J89" s="143">
        <f t="shared" si="40"/>
        <v>0</v>
      </c>
      <c r="K89" s="142">
        <v>9</v>
      </c>
      <c r="L89" s="140">
        <v>13</v>
      </c>
      <c r="M89" s="142">
        <v>0</v>
      </c>
      <c r="N89" s="140">
        <v>7.5</v>
      </c>
      <c r="O89" s="159">
        <f t="shared" si="50"/>
        <v>0</v>
      </c>
      <c r="P89" s="140">
        <v>0</v>
      </c>
      <c r="Q89" s="151">
        <f t="shared" si="43"/>
        <v>0</v>
      </c>
      <c r="R89" s="140">
        <v>0</v>
      </c>
      <c r="S89" s="280">
        <f t="shared" si="44"/>
        <v>0</v>
      </c>
      <c r="T89" s="140">
        <v>0</v>
      </c>
      <c r="U89" s="281">
        <f t="shared" si="45"/>
        <v>0</v>
      </c>
      <c r="V89" s="140">
        <v>0</v>
      </c>
      <c r="W89" s="140">
        <f t="shared" si="46"/>
        <v>0</v>
      </c>
      <c r="X89" s="146"/>
      <c r="Y89" s="269">
        <f t="shared" si="47"/>
        <v>0</v>
      </c>
      <c r="Z89" s="269">
        <f t="shared" si="48"/>
        <v>0</v>
      </c>
      <c r="AA89" s="149">
        <f t="shared" si="49"/>
        <v>0</v>
      </c>
      <c r="AD89" s="149" t="e">
        <f aca="true" t="shared" si="51" ref="AD89:AD108">AC89/AB89</f>
        <v>#DIV/0!</v>
      </c>
      <c r="AE89" s="150">
        <f t="shared" si="42"/>
        <v>0</v>
      </c>
    </row>
    <row r="90" spans="1:31" ht="15">
      <c r="A90" s="140">
        <v>10949</v>
      </c>
      <c r="B90" s="221">
        <v>84</v>
      </c>
      <c r="C90" s="225"/>
      <c r="D90" s="146" t="s">
        <v>355</v>
      </c>
      <c r="E90" s="146"/>
      <c r="F90" s="225">
        <v>1</v>
      </c>
      <c r="G90" s="140" t="s">
        <v>411</v>
      </c>
      <c r="H90" s="140">
        <v>0</v>
      </c>
      <c r="I90" s="143">
        <v>0</v>
      </c>
      <c r="J90" s="143">
        <f t="shared" si="40"/>
        <v>2.4000000000000004</v>
      </c>
      <c r="K90" s="142">
        <v>2</v>
      </c>
      <c r="L90" s="140">
        <v>0</v>
      </c>
      <c r="M90" s="142">
        <f t="shared" si="41"/>
        <v>2</v>
      </c>
      <c r="N90" s="160">
        <v>340</v>
      </c>
      <c r="O90" s="159">
        <f t="shared" si="50"/>
        <v>680</v>
      </c>
      <c r="P90" s="140">
        <v>2</v>
      </c>
      <c r="Q90" s="151">
        <f aca="true" t="shared" si="52" ref="Q90:Q108">P90*N90</f>
        <v>680</v>
      </c>
      <c r="R90" s="225">
        <v>0</v>
      </c>
      <c r="S90" s="280">
        <f aca="true" t="shared" si="53" ref="S90:S108">R90*N90</f>
        <v>0</v>
      </c>
      <c r="T90" s="280">
        <v>0</v>
      </c>
      <c r="U90" s="281">
        <f aca="true" t="shared" si="54" ref="U90:U108">T90*N90</f>
        <v>0</v>
      </c>
      <c r="V90" s="140">
        <v>0</v>
      </c>
      <c r="W90" s="140">
        <f aca="true" t="shared" si="55" ref="W90:W108">V90*N90</f>
        <v>0</v>
      </c>
      <c r="X90" s="146"/>
      <c r="Y90" s="269">
        <f aca="true" t="shared" si="56" ref="Y90:Y107">M90-Z90</f>
        <v>0</v>
      </c>
      <c r="Z90" s="269">
        <f aca="true" t="shared" si="57" ref="Z90:Z107">P90+R90+T90+V90</f>
        <v>2</v>
      </c>
      <c r="AA90" s="149">
        <f aca="true" t="shared" si="58" ref="AA90:AA107">M90/4</f>
        <v>0.5</v>
      </c>
      <c r="AB90" s="149">
        <v>2</v>
      </c>
      <c r="AC90" s="149">
        <v>680</v>
      </c>
      <c r="AD90" s="149">
        <f t="shared" si="51"/>
        <v>340</v>
      </c>
      <c r="AE90" s="150">
        <f t="shared" si="42"/>
        <v>2.4000000000000004</v>
      </c>
    </row>
    <row r="91" spans="1:31" ht="15">
      <c r="A91" s="140">
        <v>10949</v>
      </c>
      <c r="B91" s="225">
        <v>85</v>
      </c>
      <c r="C91" s="221"/>
      <c r="D91" s="146" t="s">
        <v>356</v>
      </c>
      <c r="E91" s="146"/>
      <c r="F91" s="225">
        <v>1</v>
      </c>
      <c r="G91" s="140" t="s">
        <v>411</v>
      </c>
      <c r="H91" s="140">
        <v>1</v>
      </c>
      <c r="I91" s="143">
        <v>0</v>
      </c>
      <c r="J91" s="143">
        <f t="shared" si="40"/>
        <v>0</v>
      </c>
      <c r="K91" s="142">
        <v>0</v>
      </c>
      <c r="L91" s="140">
        <v>1</v>
      </c>
      <c r="M91" s="142">
        <v>0</v>
      </c>
      <c r="N91" s="160">
        <v>340</v>
      </c>
      <c r="O91" s="159">
        <f t="shared" si="50"/>
        <v>0</v>
      </c>
      <c r="P91" s="140">
        <v>0</v>
      </c>
      <c r="Q91" s="151">
        <f t="shared" si="52"/>
        <v>0</v>
      </c>
      <c r="R91" s="225">
        <v>0</v>
      </c>
      <c r="S91" s="280">
        <f t="shared" si="53"/>
        <v>0</v>
      </c>
      <c r="T91" s="280">
        <v>0</v>
      </c>
      <c r="U91" s="281">
        <f t="shared" si="54"/>
        <v>0</v>
      </c>
      <c r="V91" s="140">
        <v>0</v>
      </c>
      <c r="W91" s="140">
        <f t="shared" si="55"/>
        <v>0</v>
      </c>
      <c r="X91" s="146"/>
      <c r="Y91" s="269">
        <f t="shared" si="56"/>
        <v>0</v>
      </c>
      <c r="Z91" s="269">
        <f t="shared" si="57"/>
        <v>0</v>
      </c>
      <c r="AA91" s="149">
        <f t="shared" si="58"/>
        <v>0</v>
      </c>
      <c r="AD91" s="149" t="e">
        <f t="shared" si="51"/>
        <v>#DIV/0!</v>
      </c>
      <c r="AE91" s="150">
        <f t="shared" si="42"/>
        <v>0</v>
      </c>
    </row>
    <row r="92" spans="1:31" ht="15">
      <c r="A92" s="140">
        <v>10949</v>
      </c>
      <c r="B92" s="221">
        <v>86</v>
      </c>
      <c r="C92" s="221"/>
      <c r="D92" s="146" t="s">
        <v>357</v>
      </c>
      <c r="E92" s="146"/>
      <c r="F92" s="225">
        <v>1</v>
      </c>
      <c r="G92" s="140" t="s">
        <v>411</v>
      </c>
      <c r="H92" s="140">
        <v>0</v>
      </c>
      <c r="I92" s="143">
        <v>0</v>
      </c>
      <c r="J92" s="143">
        <f t="shared" si="40"/>
        <v>0</v>
      </c>
      <c r="K92" s="142">
        <v>0</v>
      </c>
      <c r="L92" s="140">
        <v>0</v>
      </c>
      <c r="M92" s="142">
        <f t="shared" si="41"/>
        <v>0</v>
      </c>
      <c r="N92" s="160">
        <v>340</v>
      </c>
      <c r="O92" s="159">
        <f t="shared" si="50"/>
        <v>0</v>
      </c>
      <c r="P92" s="140">
        <v>0</v>
      </c>
      <c r="Q92" s="151">
        <f t="shared" si="52"/>
        <v>0</v>
      </c>
      <c r="R92" s="140">
        <v>0</v>
      </c>
      <c r="S92" s="280">
        <f t="shared" si="53"/>
        <v>0</v>
      </c>
      <c r="T92" s="140">
        <v>0</v>
      </c>
      <c r="U92" s="281">
        <f t="shared" si="54"/>
        <v>0</v>
      </c>
      <c r="V92" s="140">
        <v>0</v>
      </c>
      <c r="W92" s="140">
        <f t="shared" si="55"/>
        <v>0</v>
      </c>
      <c r="X92" s="146"/>
      <c r="Y92" s="269">
        <f t="shared" si="56"/>
        <v>0</v>
      </c>
      <c r="Z92" s="269">
        <f t="shared" si="57"/>
        <v>0</v>
      </c>
      <c r="AA92" s="149">
        <f t="shared" si="58"/>
        <v>0</v>
      </c>
      <c r="AD92" s="149" t="e">
        <f t="shared" si="51"/>
        <v>#DIV/0!</v>
      </c>
      <c r="AE92" s="150">
        <f t="shared" si="42"/>
        <v>0</v>
      </c>
    </row>
    <row r="93" spans="1:31" ht="15">
      <c r="A93" s="140">
        <v>10949</v>
      </c>
      <c r="B93" s="225">
        <v>87</v>
      </c>
      <c r="C93" s="221"/>
      <c r="D93" s="187" t="s">
        <v>362</v>
      </c>
      <c r="E93" s="187"/>
      <c r="F93" s="225">
        <v>1</v>
      </c>
      <c r="G93" s="140" t="s">
        <v>411</v>
      </c>
      <c r="H93" s="140">
        <v>2</v>
      </c>
      <c r="I93" s="143">
        <v>1</v>
      </c>
      <c r="J93" s="143">
        <f t="shared" si="40"/>
        <v>2.4000000000000004</v>
      </c>
      <c r="K93" s="142">
        <v>2</v>
      </c>
      <c r="L93" s="140">
        <v>5</v>
      </c>
      <c r="M93" s="142">
        <v>0</v>
      </c>
      <c r="N93" s="160">
        <v>2461</v>
      </c>
      <c r="O93" s="159">
        <f t="shared" si="50"/>
        <v>0</v>
      </c>
      <c r="P93" s="225">
        <v>0</v>
      </c>
      <c r="Q93" s="151">
        <f t="shared" si="52"/>
        <v>0</v>
      </c>
      <c r="R93" s="225">
        <v>0</v>
      </c>
      <c r="S93" s="280">
        <f t="shared" si="53"/>
        <v>0</v>
      </c>
      <c r="T93" s="280">
        <v>0</v>
      </c>
      <c r="U93" s="281">
        <f t="shared" si="54"/>
        <v>0</v>
      </c>
      <c r="V93" s="140">
        <v>0</v>
      </c>
      <c r="W93" s="140">
        <f t="shared" si="55"/>
        <v>0</v>
      </c>
      <c r="X93" s="146"/>
      <c r="Y93" s="269">
        <f t="shared" si="56"/>
        <v>0</v>
      </c>
      <c r="Z93" s="269">
        <f t="shared" si="57"/>
        <v>0</v>
      </c>
      <c r="AA93" s="149">
        <f t="shared" si="58"/>
        <v>0</v>
      </c>
      <c r="AB93" s="149">
        <v>2</v>
      </c>
      <c r="AC93" s="149">
        <v>4922</v>
      </c>
      <c r="AD93" s="149">
        <f t="shared" si="51"/>
        <v>2461</v>
      </c>
      <c r="AE93" s="150">
        <f t="shared" si="42"/>
        <v>2.4000000000000004</v>
      </c>
    </row>
    <row r="94" spans="1:31" ht="15">
      <c r="A94" s="140">
        <v>10949</v>
      </c>
      <c r="B94" s="221">
        <v>88</v>
      </c>
      <c r="C94" s="221"/>
      <c r="D94" s="187" t="s">
        <v>515</v>
      </c>
      <c r="E94" s="187"/>
      <c r="F94" s="225">
        <v>1</v>
      </c>
      <c r="G94" s="140" t="s">
        <v>411</v>
      </c>
      <c r="H94" s="140">
        <v>9</v>
      </c>
      <c r="I94" s="143">
        <v>7</v>
      </c>
      <c r="J94" s="143">
        <f t="shared" si="40"/>
        <v>7.199999999999999</v>
      </c>
      <c r="K94" s="142">
        <v>8</v>
      </c>
      <c r="L94" s="140">
        <v>1</v>
      </c>
      <c r="M94" s="142">
        <f t="shared" si="41"/>
        <v>7</v>
      </c>
      <c r="N94" s="160">
        <v>3342.68</v>
      </c>
      <c r="O94" s="159">
        <f t="shared" si="50"/>
        <v>23398.76</v>
      </c>
      <c r="P94" s="140">
        <v>2</v>
      </c>
      <c r="Q94" s="151">
        <f t="shared" si="52"/>
        <v>6685.36</v>
      </c>
      <c r="R94" s="225">
        <v>2</v>
      </c>
      <c r="S94" s="280">
        <f t="shared" si="53"/>
        <v>6685.36</v>
      </c>
      <c r="T94" s="280">
        <v>2</v>
      </c>
      <c r="U94" s="281">
        <f t="shared" si="54"/>
        <v>6685.36</v>
      </c>
      <c r="V94" s="140">
        <v>1</v>
      </c>
      <c r="W94" s="140">
        <f t="shared" si="55"/>
        <v>3342.68</v>
      </c>
      <c r="X94" s="146"/>
      <c r="Y94" s="269">
        <f t="shared" si="56"/>
        <v>0</v>
      </c>
      <c r="Z94" s="269">
        <f t="shared" si="57"/>
        <v>7</v>
      </c>
      <c r="AA94" s="149">
        <f t="shared" si="58"/>
        <v>1.75</v>
      </c>
      <c r="AB94" s="149">
        <v>6</v>
      </c>
      <c r="AC94" s="149">
        <v>20056.079999999998</v>
      </c>
      <c r="AD94" s="149">
        <f t="shared" si="51"/>
        <v>3342.68</v>
      </c>
      <c r="AE94" s="150">
        <f t="shared" si="42"/>
        <v>7.199999999999999</v>
      </c>
    </row>
    <row r="95" spans="1:31" ht="15">
      <c r="A95" s="140">
        <v>10949</v>
      </c>
      <c r="B95" s="225">
        <v>89</v>
      </c>
      <c r="C95" s="225"/>
      <c r="D95" s="187" t="s">
        <v>363</v>
      </c>
      <c r="E95" s="187"/>
      <c r="F95" s="225">
        <v>1</v>
      </c>
      <c r="G95" s="140" t="s">
        <v>411</v>
      </c>
      <c r="H95" s="140">
        <v>10</v>
      </c>
      <c r="I95" s="143">
        <v>8</v>
      </c>
      <c r="J95" s="143">
        <f t="shared" si="40"/>
        <v>10.8</v>
      </c>
      <c r="K95" s="142">
        <v>12</v>
      </c>
      <c r="L95" s="140">
        <v>2</v>
      </c>
      <c r="M95" s="142">
        <f t="shared" si="41"/>
        <v>10</v>
      </c>
      <c r="N95" s="160">
        <v>4305.68</v>
      </c>
      <c r="O95" s="159">
        <f t="shared" si="50"/>
        <v>43056.8</v>
      </c>
      <c r="P95" s="140">
        <v>2</v>
      </c>
      <c r="Q95" s="151">
        <f t="shared" si="52"/>
        <v>8611.36</v>
      </c>
      <c r="R95" s="225">
        <v>3</v>
      </c>
      <c r="S95" s="280">
        <f t="shared" si="53"/>
        <v>12917.04</v>
      </c>
      <c r="T95" s="280">
        <v>3</v>
      </c>
      <c r="U95" s="281">
        <f t="shared" si="54"/>
        <v>12917.04</v>
      </c>
      <c r="V95" s="140">
        <v>2</v>
      </c>
      <c r="W95" s="140">
        <f t="shared" si="55"/>
        <v>8611.36</v>
      </c>
      <c r="X95" s="146"/>
      <c r="Y95" s="269">
        <f t="shared" si="56"/>
        <v>0</v>
      </c>
      <c r="Z95" s="269">
        <f t="shared" si="57"/>
        <v>10</v>
      </c>
      <c r="AA95" s="149">
        <f t="shared" si="58"/>
        <v>2.5</v>
      </c>
      <c r="AB95" s="149">
        <v>9</v>
      </c>
      <c r="AC95" s="149">
        <v>38751.12</v>
      </c>
      <c r="AD95" s="149">
        <f t="shared" si="51"/>
        <v>4305.68</v>
      </c>
      <c r="AE95" s="150">
        <f t="shared" si="42"/>
        <v>10.8</v>
      </c>
    </row>
    <row r="96" spans="1:31" ht="15">
      <c r="A96" s="140">
        <v>10949</v>
      </c>
      <c r="B96" s="221">
        <v>90</v>
      </c>
      <c r="C96" s="221"/>
      <c r="D96" s="187" t="s">
        <v>414</v>
      </c>
      <c r="E96" s="187"/>
      <c r="F96" s="225">
        <v>1</v>
      </c>
      <c r="G96" s="140" t="s">
        <v>1240</v>
      </c>
      <c r="H96" s="140">
        <v>3308</v>
      </c>
      <c r="I96" s="140">
        <v>3332</v>
      </c>
      <c r="J96" s="143">
        <f t="shared" si="40"/>
        <v>4293.6</v>
      </c>
      <c r="K96" s="142">
        <v>4300</v>
      </c>
      <c r="L96" s="140">
        <v>400</v>
      </c>
      <c r="M96" s="142">
        <f t="shared" si="41"/>
        <v>3900</v>
      </c>
      <c r="N96" s="140">
        <v>238.61</v>
      </c>
      <c r="O96" s="159">
        <f t="shared" si="50"/>
        <v>930579</v>
      </c>
      <c r="P96" s="140">
        <v>1000</v>
      </c>
      <c r="Q96" s="151">
        <f t="shared" si="52"/>
        <v>238610</v>
      </c>
      <c r="R96" s="225">
        <v>900</v>
      </c>
      <c r="S96" s="280">
        <f t="shared" si="53"/>
        <v>214749</v>
      </c>
      <c r="T96" s="280">
        <v>1000</v>
      </c>
      <c r="U96" s="281">
        <f t="shared" si="54"/>
        <v>238610</v>
      </c>
      <c r="V96" s="140">
        <v>1000</v>
      </c>
      <c r="W96" s="140">
        <f t="shared" si="55"/>
        <v>238610</v>
      </c>
      <c r="X96" s="146"/>
      <c r="Y96" s="269">
        <f t="shared" si="56"/>
        <v>0</v>
      </c>
      <c r="Z96" s="269">
        <f t="shared" si="57"/>
        <v>3900</v>
      </c>
      <c r="AA96" s="149">
        <f t="shared" si="58"/>
        <v>975</v>
      </c>
      <c r="AB96" s="149">
        <v>3578</v>
      </c>
      <c r="AC96" s="149">
        <v>740786</v>
      </c>
      <c r="AD96" s="149">
        <f t="shared" si="51"/>
        <v>207.03912800447176</v>
      </c>
      <c r="AE96" s="150">
        <f t="shared" si="42"/>
        <v>4293.6</v>
      </c>
    </row>
    <row r="97" spans="1:31" ht="15">
      <c r="A97" s="140">
        <v>10949</v>
      </c>
      <c r="B97" s="225">
        <v>91</v>
      </c>
      <c r="C97" s="221"/>
      <c r="D97" s="187" t="s">
        <v>367</v>
      </c>
      <c r="E97" s="187"/>
      <c r="F97" s="225">
        <v>1</v>
      </c>
      <c r="G97" s="140" t="s">
        <v>407</v>
      </c>
      <c r="H97" s="140">
        <v>38</v>
      </c>
      <c r="I97" s="140">
        <v>67</v>
      </c>
      <c r="J97" s="143">
        <f t="shared" si="40"/>
        <v>57.599999999999994</v>
      </c>
      <c r="K97" s="142">
        <v>60</v>
      </c>
      <c r="L97" s="140">
        <v>12</v>
      </c>
      <c r="M97" s="142">
        <f t="shared" si="41"/>
        <v>48</v>
      </c>
      <c r="N97" s="140">
        <v>187.5</v>
      </c>
      <c r="O97" s="159">
        <f t="shared" si="50"/>
        <v>9000</v>
      </c>
      <c r="P97" s="140">
        <v>12</v>
      </c>
      <c r="Q97" s="151">
        <f t="shared" si="52"/>
        <v>2250</v>
      </c>
      <c r="R97" s="225">
        <v>12</v>
      </c>
      <c r="S97" s="280">
        <f t="shared" si="53"/>
        <v>2250</v>
      </c>
      <c r="T97" s="280">
        <v>12</v>
      </c>
      <c r="U97" s="281">
        <f t="shared" si="54"/>
        <v>2250</v>
      </c>
      <c r="V97" s="281">
        <v>12</v>
      </c>
      <c r="W97" s="140">
        <f t="shared" si="55"/>
        <v>2250</v>
      </c>
      <c r="X97" s="146"/>
      <c r="Y97" s="269">
        <f t="shared" si="56"/>
        <v>0</v>
      </c>
      <c r="Z97" s="269">
        <f t="shared" si="57"/>
        <v>48</v>
      </c>
      <c r="AA97" s="149">
        <f t="shared" si="58"/>
        <v>12</v>
      </c>
      <c r="AB97" s="149">
        <v>48</v>
      </c>
      <c r="AC97" s="149">
        <v>9000</v>
      </c>
      <c r="AD97" s="149">
        <f t="shared" si="51"/>
        <v>187.5</v>
      </c>
      <c r="AE97" s="150">
        <f t="shared" si="42"/>
        <v>57.599999999999994</v>
      </c>
    </row>
    <row r="98" spans="1:31" ht="15">
      <c r="A98" s="140">
        <v>10949</v>
      </c>
      <c r="B98" s="221">
        <v>92</v>
      </c>
      <c r="C98" s="221"/>
      <c r="D98" s="187" t="s">
        <v>434</v>
      </c>
      <c r="E98" s="187"/>
      <c r="F98" s="225">
        <v>1</v>
      </c>
      <c r="G98" s="140" t="s">
        <v>1240</v>
      </c>
      <c r="H98" s="140">
        <v>205</v>
      </c>
      <c r="I98" s="140">
        <v>216</v>
      </c>
      <c r="J98" s="143">
        <f t="shared" si="40"/>
        <v>180</v>
      </c>
      <c r="K98" s="142">
        <v>210</v>
      </c>
      <c r="L98" s="140">
        <v>10</v>
      </c>
      <c r="M98" s="142">
        <f t="shared" si="41"/>
        <v>200</v>
      </c>
      <c r="N98" s="282">
        <v>191.0441</v>
      </c>
      <c r="O98" s="159">
        <f t="shared" si="50"/>
        <v>38208.82</v>
      </c>
      <c r="P98" s="140">
        <v>50</v>
      </c>
      <c r="Q98" s="151">
        <f t="shared" si="52"/>
        <v>9552.205</v>
      </c>
      <c r="R98" s="225">
        <v>50</v>
      </c>
      <c r="S98" s="280">
        <f t="shared" si="53"/>
        <v>9552.205</v>
      </c>
      <c r="T98" s="280">
        <v>50</v>
      </c>
      <c r="U98" s="281">
        <f t="shared" si="54"/>
        <v>9552.205</v>
      </c>
      <c r="V98" s="281">
        <v>50</v>
      </c>
      <c r="W98" s="140">
        <f t="shared" si="55"/>
        <v>9552.205</v>
      </c>
      <c r="X98" s="146"/>
      <c r="Y98" s="269">
        <f t="shared" si="56"/>
        <v>0</v>
      </c>
      <c r="Z98" s="269">
        <f t="shared" si="57"/>
        <v>200</v>
      </c>
      <c r="AA98" s="149">
        <f t="shared" si="58"/>
        <v>50</v>
      </c>
      <c r="AB98" s="149">
        <v>150</v>
      </c>
      <c r="AC98" s="149">
        <v>28738.52</v>
      </c>
      <c r="AD98" s="149">
        <f t="shared" si="51"/>
        <v>191.59013333333334</v>
      </c>
      <c r="AE98" s="150">
        <f t="shared" si="42"/>
        <v>180</v>
      </c>
    </row>
    <row r="99" spans="1:31" ht="15">
      <c r="A99" s="140">
        <v>10949</v>
      </c>
      <c r="B99" s="225">
        <v>93</v>
      </c>
      <c r="C99" s="221"/>
      <c r="D99" s="187" t="s">
        <v>435</v>
      </c>
      <c r="E99" s="187"/>
      <c r="F99" s="225">
        <v>1</v>
      </c>
      <c r="G99" s="140" t="s">
        <v>407</v>
      </c>
      <c r="H99" s="140">
        <v>4350</v>
      </c>
      <c r="I99" s="140">
        <f>103*50</f>
        <v>5150</v>
      </c>
      <c r="J99" s="143">
        <f t="shared" si="40"/>
        <v>4320</v>
      </c>
      <c r="K99" s="142">
        <v>4800</v>
      </c>
      <c r="L99" s="140">
        <v>0</v>
      </c>
      <c r="M99" s="142">
        <f t="shared" si="41"/>
        <v>4800</v>
      </c>
      <c r="N99" s="140">
        <v>3.7986</v>
      </c>
      <c r="O99" s="159">
        <f t="shared" si="50"/>
        <v>18233.28</v>
      </c>
      <c r="P99" s="140">
        <v>1200</v>
      </c>
      <c r="Q99" s="151">
        <f t="shared" si="52"/>
        <v>4558.32</v>
      </c>
      <c r="R99" s="225">
        <v>1200</v>
      </c>
      <c r="S99" s="280">
        <f t="shared" si="53"/>
        <v>4558.32</v>
      </c>
      <c r="T99" s="280">
        <v>1200</v>
      </c>
      <c r="U99" s="281">
        <f t="shared" si="54"/>
        <v>4558.32</v>
      </c>
      <c r="V99" s="140">
        <v>1200</v>
      </c>
      <c r="W99" s="140">
        <f t="shared" si="55"/>
        <v>4558.32</v>
      </c>
      <c r="X99" s="146"/>
      <c r="Y99" s="269">
        <f t="shared" si="56"/>
        <v>0</v>
      </c>
      <c r="Z99" s="269">
        <f t="shared" si="57"/>
        <v>4800</v>
      </c>
      <c r="AA99" s="149">
        <f t="shared" si="58"/>
        <v>1200</v>
      </c>
      <c r="AB99" s="149">
        <v>3600</v>
      </c>
      <c r="AC99" s="149">
        <v>11395.54</v>
      </c>
      <c r="AD99" s="149">
        <f t="shared" si="51"/>
        <v>3.165427777777778</v>
      </c>
      <c r="AE99" s="150">
        <f t="shared" si="42"/>
        <v>4320</v>
      </c>
    </row>
    <row r="100" spans="1:31" ht="15">
      <c r="A100" s="140">
        <v>10949</v>
      </c>
      <c r="B100" s="221">
        <v>94</v>
      </c>
      <c r="C100" s="225"/>
      <c r="D100" s="187" t="s">
        <v>364</v>
      </c>
      <c r="E100" s="187"/>
      <c r="F100" s="225">
        <v>1</v>
      </c>
      <c r="G100" s="140" t="s">
        <v>1240</v>
      </c>
      <c r="H100" s="140">
        <v>1119</v>
      </c>
      <c r="I100" s="140">
        <v>899</v>
      </c>
      <c r="J100" s="143">
        <f t="shared" si="40"/>
        <v>614.4000000000001</v>
      </c>
      <c r="K100" s="142">
        <v>900</v>
      </c>
      <c r="L100" s="140">
        <v>100</v>
      </c>
      <c r="M100" s="142">
        <f t="shared" si="41"/>
        <v>800</v>
      </c>
      <c r="N100" s="282">
        <v>112.3499</v>
      </c>
      <c r="O100" s="159">
        <f t="shared" si="50"/>
        <v>89879.92</v>
      </c>
      <c r="P100" s="140">
        <v>200</v>
      </c>
      <c r="Q100" s="151">
        <f t="shared" si="52"/>
        <v>22469.98</v>
      </c>
      <c r="R100" s="225">
        <v>200</v>
      </c>
      <c r="S100" s="280">
        <f t="shared" si="53"/>
        <v>22469.98</v>
      </c>
      <c r="T100" s="280">
        <v>200</v>
      </c>
      <c r="U100" s="281">
        <f t="shared" si="54"/>
        <v>22469.98</v>
      </c>
      <c r="V100" s="140">
        <v>200</v>
      </c>
      <c r="W100" s="140">
        <f t="shared" si="55"/>
        <v>22469.98</v>
      </c>
      <c r="X100" s="146"/>
      <c r="Y100" s="269">
        <f t="shared" si="56"/>
        <v>0</v>
      </c>
      <c r="Z100" s="269">
        <f t="shared" si="57"/>
        <v>800</v>
      </c>
      <c r="AA100" s="149">
        <f t="shared" si="58"/>
        <v>200</v>
      </c>
      <c r="AB100" s="149">
        <v>512</v>
      </c>
      <c r="AC100" s="149">
        <v>67409.71</v>
      </c>
      <c r="AD100" s="149">
        <f t="shared" si="51"/>
        <v>131.65958984375</v>
      </c>
      <c r="AE100" s="150">
        <f t="shared" si="42"/>
        <v>614.4000000000001</v>
      </c>
    </row>
    <row r="101" spans="1:31" ht="15">
      <c r="A101" s="140">
        <v>10949</v>
      </c>
      <c r="B101" s="225">
        <v>95</v>
      </c>
      <c r="C101" s="221"/>
      <c r="D101" s="187" t="s">
        <v>365</v>
      </c>
      <c r="E101" s="187"/>
      <c r="F101" s="225">
        <v>1</v>
      </c>
      <c r="G101" s="140" t="s">
        <v>1240</v>
      </c>
      <c r="H101" s="140">
        <v>392</v>
      </c>
      <c r="I101" s="140">
        <v>364</v>
      </c>
      <c r="J101" s="143">
        <f t="shared" si="40"/>
        <v>390</v>
      </c>
      <c r="K101" s="142">
        <v>400</v>
      </c>
      <c r="L101" s="140">
        <v>80</v>
      </c>
      <c r="M101" s="142">
        <f t="shared" si="41"/>
        <v>320</v>
      </c>
      <c r="N101" s="282">
        <v>124.97796</v>
      </c>
      <c r="O101" s="159">
        <f t="shared" si="50"/>
        <v>39992.947199999995</v>
      </c>
      <c r="P101" s="140">
        <v>80</v>
      </c>
      <c r="Q101" s="151">
        <f t="shared" si="52"/>
        <v>9998.236799999999</v>
      </c>
      <c r="R101" s="225">
        <v>80</v>
      </c>
      <c r="S101" s="280">
        <f t="shared" si="53"/>
        <v>9998.236799999999</v>
      </c>
      <c r="T101" s="280">
        <v>80</v>
      </c>
      <c r="U101" s="281">
        <f t="shared" si="54"/>
        <v>9998.236799999999</v>
      </c>
      <c r="V101" s="281">
        <v>80</v>
      </c>
      <c r="W101" s="140">
        <f t="shared" si="55"/>
        <v>9998.236799999999</v>
      </c>
      <c r="X101" s="146"/>
      <c r="Y101" s="269">
        <f t="shared" si="56"/>
        <v>0</v>
      </c>
      <c r="Z101" s="269">
        <f t="shared" si="57"/>
        <v>320</v>
      </c>
      <c r="AA101" s="149">
        <f t="shared" si="58"/>
        <v>80</v>
      </c>
      <c r="AB101" s="149">
        <v>325</v>
      </c>
      <c r="AC101" s="149">
        <v>37492.8</v>
      </c>
      <c r="AD101" s="149">
        <f t="shared" si="51"/>
        <v>115.36246153846155</v>
      </c>
      <c r="AE101" s="150">
        <f t="shared" si="42"/>
        <v>390</v>
      </c>
    </row>
    <row r="102" spans="1:31" ht="15">
      <c r="A102" s="140">
        <v>10949</v>
      </c>
      <c r="B102" s="221">
        <v>96</v>
      </c>
      <c r="C102" s="221"/>
      <c r="D102" s="187" t="s">
        <v>366</v>
      </c>
      <c r="E102" s="187"/>
      <c r="F102" s="225">
        <v>1</v>
      </c>
      <c r="G102" s="140" t="s">
        <v>407</v>
      </c>
      <c r="H102" s="140">
        <v>740</v>
      </c>
      <c r="I102" s="140">
        <v>1100</v>
      </c>
      <c r="J102" s="143">
        <f t="shared" si="40"/>
        <v>1224</v>
      </c>
      <c r="K102" s="142">
        <v>1200</v>
      </c>
      <c r="L102" s="140">
        <v>200</v>
      </c>
      <c r="M102" s="142">
        <f t="shared" si="41"/>
        <v>1000</v>
      </c>
      <c r="N102" s="282">
        <v>12.8393</v>
      </c>
      <c r="O102" s="159">
        <f t="shared" si="50"/>
        <v>12839.3</v>
      </c>
      <c r="P102" s="140">
        <v>250</v>
      </c>
      <c r="Q102" s="151">
        <f t="shared" si="52"/>
        <v>3209.825</v>
      </c>
      <c r="R102" s="225">
        <v>250</v>
      </c>
      <c r="S102" s="280">
        <f t="shared" si="53"/>
        <v>3209.825</v>
      </c>
      <c r="T102" s="280">
        <v>250</v>
      </c>
      <c r="U102" s="281">
        <f t="shared" si="54"/>
        <v>3209.825</v>
      </c>
      <c r="V102" s="140">
        <v>250</v>
      </c>
      <c r="W102" s="140">
        <f t="shared" si="55"/>
        <v>3209.825</v>
      </c>
      <c r="X102" s="146"/>
      <c r="Y102" s="269">
        <f t="shared" si="56"/>
        <v>0</v>
      </c>
      <c r="Z102" s="269">
        <f t="shared" si="57"/>
        <v>1000</v>
      </c>
      <c r="AA102" s="149">
        <f t="shared" si="58"/>
        <v>250</v>
      </c>
      <c r="AB102" s="149">
        <f>51*20</f>
        <v>1020</v>
      </c>
      <c r="AC102" s="149">
        <v>13097.19</v>
      </c>
      <c r="AD102" s="149">
        <f t="shared" si="51"/>
        <v>12.840382352941177</v>
      </c>
      <c r="AE102" s="150">
        <f t="shared" si="42"/>
        <v>1224</v>
      </c>
    </row>
    <row r="103" spans="1:33" ht="15">
      <c r="A103" s="130" t="s">
        <v>1199</v>
      </c>
      <c r="B103" s="237" t="s">
        <v>2</v>
      </c>
      <c r="C103" s="134" t="s">
        <v>1213</v>
      </c>
      <c r="D103" s="236" t="s">
        <v>1293</v>
      </c>
      <c r="E103" s="236" t="s">
        <v>1202</v>
      </c>
      <c r="F103" s="237" t="s">
        <v>1579</v>
      </c>
      <c r="G103" s="236" t="s">
        <v>1203</v>
      </c>
      <c r="H103" s="273"/>
      <c r="I103" s="274" t="s">
        <v>1205</v>
      </c>
      <c r="J103" s="235"/>
      <c r="K103" s="236" t="s">
        <v>0</v>
      </c>
      <c r="L103" s="236" t="s">
        <v>1214</v>
      </c>
      <c r="M103" s="236" t="s">
        <v>0</v>
      </c>
      <c r="N103" s="237" t="s">
        <v>1390</v>
      </c>
      <c r="O103" s="275" t="s">
        <v>1288</v>
      </c>
      <c r="P103" s="255" t="s">
        <v>1289</v>
      </c>
      <c r="Q103" s="235"/>
      <c r="R103" s="255" t="s">
        <v>1290</v>
      </c>
      <c r="S103" s="256"/>
      <c r="T103" s="255" t="s">
        <v>1291</v>
      </c>
      <c r="U103" s="235"/>
      <c r="V103" s="255" t="s">
        <v>1292</v>
      </c>
      <c r="W103" s="256"/>
      <c r="X103" s="203" t="s">
        <v>608</v>
      </c>
      <c r="AA103" s="149" t="s">
        <v>1318</v>
      </c>
      <c r="AB103" s="149" t="s">
        <v>1297</v>
      </c>
      <c r="AC103" s="149" t="s">
        <v>6</v>
      </c>
      <c r="AD103" s="149" t="s">
        <v>1</v>
      </c>
      <c r="AE103" s="150" t="s">
        <v>1303</v>
      </c>
      <c r="AF103" s="149" t="s">
        <v>4</v>
      </c>
      <c r="AG103" s="149" t="s">
        <v>1304</v>
      </c>
    </row>
    <row r="104" spans="1:29" ht="15">
      <c r="A104" s="276"/>
      <c r="B104" s="277"/>
      <c r="C104" s="278"/>
      <c r="D104" s="278"/>
      <c r="E104" s="252"/>
      <c r="F104" s="241" t="s">
        <v>1204</v>
      </c>
      <c r="G104" s="252" t="s">
        <v>1204</v>
      </c>
      <c r="H104" s="136">
        <v>2562</v>
      </c>
      <c r="I104" s="136">
        <v>2563</v>
      </c>
      <c r="J104" s="136">
        <v>2564</v>
      </c>
      <c r="K104" s="136" t="s">
        <v>1537</v>
      </c>
      <c r="L104" s="136" t="s">
        <v>4</v>
      </c>
      <c r="M104" s="136" t="s">
        <v>1538</v>
      </c>
      <c r="N104" s="277" t="s">
        <v>1286</v>
      </c>
      <c r="O104" s="279"/>
      <c r="P104" s="258" t="s">
        <v>5</v>
      </c>
      <c r="Q104" s="241" t="s">
        <v>1208</v>
      </c>
      <c r="R104" s="241" t="s">
        <v>5</v>
      </c>
      <c r="S104" s="259" t="s">
        <v>1208</v>
      </c>
      <c r="T104" s="277" t="s">
        <v>5</v>
      </c>
      <c r="U104" s="277" t="s">
        <v>1208</v>
      </c>
      <c r="V104" s="277" t="s">
        <v>5</v>
      </c>
      <c r="W104" s="280" t="s">
        <v>1208</v>
      </c>
      <c r="X104" s="276"/>
      <c r="AB104" s="149" t="s">
        <v>1494</v>
      </c>
      <c r="AC104" s="149" t="s">
        <v>1207</v>
      </c>
    </row>
    <row r="105" spans="1:31" ht="15">
      <c r="A105" s="140">
        <v>10949</v>
      </c>
      <c r="B105" s="225">
        <v>97</v>
      </c>
      <c r="C105" s="221"/>
      <c r="D105" s="187" t="s">
        <v>368</v>
      </c>
      <c r="E105" s="187"/>
      <c r="F105" s="225">
        <v>1</v>
      </c>
      <c r="G105" s="140" t="s">
        <v>407</v>
      </c>
      <c r="H105" s="140">
        <v>143</v>
      </c>
      <c r="I105" s="143">
        <v>28</v>
      </c>
      <c r="J105" s="143">
        <f t="shared" si="40"/>
        <v>0</v>
      </c>
      <c r="K105" s="142">
        <v>60</v>
      </c>
      <c r="L105" s="140">
        <v>0</v>
      </c>
      <c r="M105" s="142">
        <f t="shared" si="41"/>
        <v>60</v>
      </c>
      <c r="N105" s="140">
        <v>25</v>
      </c>
      <c r="O105" s="159">
        <f t="shared" si="50"/>
        <v>1500</v>
      </c>
      <c r="P105" s="140">
        <v>60</v>
      </c>
      <c r="Q105" s="151">
        <f t="shared" si="52"/>
        <v>1500</v>
      </c>
      <c r="R105" s="225">
        <v>0</v>
      </c>
      <c r="S105" s="280">
        <f t="shared" si="53"/>
        <v>0</v>
      </c>
      <c r="T105" s="280">
        <v>0</v>
      </c>
      <c r="U105" s="281">
        <f t="shared" si="54"/>
        <v>0</v>
      </c>
      <c r="V105" s="140">
        <v>0</v>
      </c>
      <c r="W105" s="140">
        <f t="shared" si="55"/>
        <v>0</v>
      </c>
      <c r="X105" s="146"/>
      <c r="Y105" s="269">
        <f t="shared" si="56"/>
        <v>0</v>
      </c>
      <c r="Z105" s="269">
        <f t="shared" si="57"/>
        <v>60</v>
      </c>
      <c r="AA105" s="149">
        <f t="shared" si="58"/>
        <v>15</v>
      </c>
      <c r="AD105" s="149" t="e">
        <f t="shared" si="51"/>
        <v>#DIV/0!</v>
      </c>
      <c r="AE105" s="150">
        <f t="shared" si="42"/>
        <v>0</v>
      </c>
    </row>
    <row r="106" spans="1:31" ht="15">
      <c r="A106" s="140">
        <v>10949</v>
      </c>
      <c r="B106" s="221">
        <v>98</v>
      </c>
      <c r="C106" s="221"/>
      <c r="D106" s="187" t="s">
        <v>369</v>
      </c>
      <c r="E106" s="187"/>
      <c r="F106" s="225">
        <v>1</v>
      </c>
      <c r="G106" s="140" t="s">
        <v>407</v>
      </c>
      <c r="H106" s="140">
        <v>0</v>
      </c>
      <c r="I106" s="143">
        <v>2</v>
      </c>
      <c r="J106" s="143">
        <f t="shared" si="40"/>
        <v>0</v>
      </c>
      <c r="K106" s="142">
        <v>2</v>
      </c>
      <c r="L106" s="140">
        <v>10</v>
      </c>
      <c r="M106" s="142">
        <v>0</v>
      </c>
      <c r="N106" s="140">
        <v>25</v>
      </c>
      <c r="O106" s="159">
        <f t="shared" si="50"/>
        <v>0</v>
      </c>
      <c r="P106" s="140">
        <v>0</v>
      </c>
      <c r="Q106" s="151">
        <f t="shared" si="52"/>
        <v>0</v>
      </c>
      <c r="R106" s="225">
        <v>0</v>
      </c>
      <c r="S106" s="280">
        <f t="shared" si="53"/>
        <v>0</v>
      </c>
      <c r="T106" s="280">
        <v>0</v>
      </c>
      <c r="U106" s="281">
        <f t="shared" si="54"/>
        <v>0</v>
      </c>
      <c r="V106" s="140">
        <v>0</v>
      </c>
      <c r="W106" s="140">
        <f t="shared" si="55"/>
        <v>0</v>
      </c>
      <c r="X106" s="146"/>
      <c r="Y106" s="269">
        <f t="shared" si="56"/>
        <v>0</v>
      </c>
      <c r="Z106" s="269">
        <f t="shared" si="57"/>
        <v>0</v>
      </c>
      <c r="AA106" s="149">
        <f t="shared" si="58"/>
        <v>0</v>
      </c>
      <c r="AD106" s="149" t="e">
        <f t="shared" si="51"/>
        <v>#DIV/0!</v>
      </c>
      <c r="AE106" s="150">
        <f t="shared" si="42"/>
        <v>0</v>
      </c>
    </row>
    <row r="107" spans="1:31" ht="15">
      <c r="A107" s="140">
        <v>10949</v>
      </c>
      <c r="B107" s="225">
        <v>99</v>
      </c>
      <c r="C107" s="225"/>
      <c r="D107" s="187" t="s">
        <v>1346</v>
      </c>
      <c r="E107" s="187"/>
      <c r="F107" s="225">
        <v>1</v>
      </c>
      <c r="G107" s="140" t="s">
        <v>1241</v>
      </c>
      <c r="H107" s="140">
        <v>286</v>
      </c>
      <c r="I107" s="143">
        <v>296</v>
      </c>
      <c r="J107" s="143">
        <f t="shared" si="40"/>
        <v>300</v>
      </c>
      <c r="K107" s="142">
        <v>320</v>
      </c>
      <c r="L107" s="140">
        <v>20</v>
      </c>
      <c r="M107" s="142">
        <f t="shared" si="41"/>
        <v>300</v>
      </c>
      <c r="N107" s="160">
        <v>150</v>
      </c>
      <c r="O107" s="159">
        <f t="shared" si="50"/>
        <v>45000</v>
      </c>
      <c r="P107" s="140">
        <v>80</v>
      </c>
      <c r="Q107" s="151">
        <f t="shared" si="52"/>
        <v>12000</v>
      </c>
      <c r="R107" s="225">
        <v>70</v>
      </c>
      <c r="S107" s="280">
        <f t="shared" si="53"/>
        <v>10500</v>
      </c>
      <c r="T107" s="280">
        <v>80</v>
      </c>
      <c r="U107" s="281">
        <f t="shared" si="54"/>
        <v>12000</v>
      </c>
      <c r="V107" s="140">
        <v>70</v>
      </c>
      <c r="W107" s="140">
        <f t="shared" si="55"/>
        <v>10500</v>
      </c>
      <c r="X107" s="146"/>
      <c r="Y107" s="269">
        <f t="shared" si="56"/>
        <v>0</v>
      </c>
      <c r="Z107" s="269">
        <f t="shared" si="57"/>
        <v>300</v>
      </c>
      <c r="AA107" s="149">
        <f t="shared" si="58"/>
        <v>75</v>
      </c>
      <c r="AB107" s="149">
        <v>250</v>
      </c>
      <c r="AC107" s="149">
        <v>35300</v>
      </c>
      <c r="AD107" s="149">
        <f t="shared" si="51"/>
        <v>141.2</v>
      </c>
      <c r="AE107" s="150">
        <f t="shared" si="42"/>
        <v>300</v>
      </c>
    </row>
    <row r="108" spans="1:31" ht="15">
      <c r="A108" s="140">
        <v>10949</v>
      </c>
      <c r="B108" s="221">
        <v>100</v>
      </c>
      <c r="C108" s="284"/>
      <c r="D108" s="187" t="s">
        <v>1432</v>
      </c>
      <c r="E108" s="187"/>
      <c r="F108" s="221">
        <v>1</v>
      </c>
      <c r="G108" s="140" t="s">
        <v>1348</v>
      </c>
      <c r="H108" s="140">
        <v>400</v>
      </c>
      <c r="I108" s="140">
        <v>200</v>
      </c>
      <c r="J108" s="143">
        <f t="shared" si="40"/>
        <v>240</v>
      </c>
      <c r="K108" s="142">
        <v>300</v>
      </c>
      <c r="L108" s="140">
        <v>0</v>
      </c>
      <c r="M108" s="142">
        <f t="shared" si="41"/>
        <v>300</v>
      </c>
      <c r="N108" s="140">
        <v>5.5</v>
      </c>
      <c r="O108" s="159">
        <f t="shared" si="50"/>
        <v>1650</v>
      </c>
      <c r="P108" s="225">
        <v>300</v>
      </c>
      <c r="Q108" s="151">
        <f t="shared" si="52"/>
        <v>1650</v>
      </c>
      <c r="R108" s="225">
        <v>0</v>
      </c>
      <c r="S108" s="280">
        <f t="shared" si="53"/>
        <v>0</v>
      </c>
      <c r="T108" s="140">
        <v>0</v>
      </c>
      <c r="U108" s="146">
        <f t="shared" si="54"/>
        <v>0</v>
      </c>
      <c r="V108" s="140">
        <v>0</v>
      </c>
      <c r="W108" s="140">
        <f t="shared" si="55"/>
        <v>0</v>
      </c>
      <c r="X108" s="146"/>
      <c r="Y108" s="269">
        <f aca="true" t="shared" si="59" ref="Y108:Y113">M108-Z108</f>
        <v>0</v>
      </c>
      <c r="Z108" s="269">
        <f aca="true" t="shared" si="60" ref="Z108:Z113">P108+R108+T108+V108</f>
        <v>300</v>
      </c>
      <c r="AA108" s="149">
        <f aca="true" t="shared" si="61" ref="AA108:AA113">M108/4</f>
        <v>75</v>
      </c>
      <c r="AB108" s="149">
        <v>200</v>
      </c>
      <c r="AC108" s="149">
        <v>920</v>
      </c>
      <c r="AD108" s="149">
        <f t="shared" si="51"/>
        <v>4.6</v>
      </c>
      <c r="AE108" s="150">
        <f t="shared" si="42"/>
        <v>240</v>
      </c>
    </row>
    <row r="109" spans="1:31" ht="15">
      <c r="A109" s="140">
        <v>10949</v>
      </c>
      <c r="B109" s="225">
        <v>101</v>
      </c>
      <c r="C109" s="221"/>
      <c r="D109" s="146" t="s">
        <v>1347</v>
      </c>
      <c r="E109" s="146"/>
      <c r="F109" s="225">
        <v>1</v>
      </c>
      <c r="G109" s="140" t="s">
        <v>1241</v>
      </c>
      <c r="H109" s="140">
        <v>0</v>
      </c>
      <c r="I109" s="143">
        <v>10</v>
      </c>
      <c r="J109" s="143">
        <f t="shared" si="40"/>
        <v>12</v>
      </c>
      <c r="K109" s="142">
        <v>12</v>
      </c>
      <c r="L109" s="140">
        <v>0</v>
      </c>
      <c r="M109" s="142">
        <f t="shared" si="41"/>
        <v>12</v>
      </c>
      <c r="N109" s="140">
        <v>180</v>
      </c>
      <c r="O109" s="159">
        <f t="shared" si="50"/>
        <v>2160</v>
      </c>
      <c r="P109" s="140">
        <v>12</v>
      </c>
      <c r="Q109" s="151">
        <f aca="true" t="shared" si="62" ref="Q109:Q114">P109*N109</f>
        <v>2160</v>
      </c>
      <c r="R109" s="225">
        <v>0</v>
      </c>
      <c r="S109" s="280">
        <f aca="true" t="shared" si="63" ref="S109:S114">R109*N109</f>
        <v>0</v>
      </c>
      <c r="T109" s="280">
        <v>0</v>
      </c>
      <c r="U109" s="281">
        <f aca="true" t="shared" si="64" ref="U109:U114">T109*N109</f>
        <v>0</v>
      </c>
      <c r="V109" s="140">
        <v>0</v>
      </c>
      <c r="W109" s="140">
        <f aca="true" t="shared" si="65" ref="W109:W114">V109*N109</f>
        <v>0</v>
      </c>
      <c r="X109" s="146"/>
      <c r="Y109" s="269">
        <f t="shared" si="59"/>
        <v>0</v>
      </c>
      <c r="Z109" s="269">
        <f t="shared" si="60"/>
        <v>12</v>
      </c>
      <c r="AA109" s="149">
        <f t="shared" si="61"/>
        <v>3</v>
      </c>
      <c r="AB109" s="149">
        <v>10</v>
      </c>
      <c r="AC109" s="149">
        <v>1800</v>
      </c>
      <c r="AD109" s="149">
        <f aca="true" t="shared" si="66" ref="AD109:AD114">AC109/AB109</f>
        <v>180</v>
      </c>
      <c r="AE109" s="150">
        <f t="shared" si="42"/>
        <v>12</v>
      </c>
    </row>
    <row r="110" spans="1:34" ht="15">
      <c r="A110" s="140">
        <v>10949</v>
      </c>
      <c r="B110" s="221">
        <v>102</v>
      </c>
      <c r="C110" s="221"/>
      <c r="D110" s="187" t="s">
        <v>1424</v>
      </c>
      <c r="E110" s="187"/>
      <c r="F110" s="225">
        <v>1</v>
      </c>
      <c r="G110" s="140" t="s">
        <v>1241</v>
      </c>
      <c r="H110" s="140">
        <v>6740</v>
      </c>
      <c r="I110" s="143">
        <v>5990</v>
      </c>
      <c r="J110" s="143">
        <f t="shared" si="40"/>
        <v>6600</v>
      </c>
      <c r="K110" s="142">
        <v>6800</v>
      </c>
      <c r="L110" s="140">
        <v>0</v>
      </c>
      <c r="M110" s="142">
        <f t="shared" si="41"/>
        <v>6800</v>
      </c>
      <c r="N110" s="140">
        <v>8</v>
      </c>
      <c r="O110" s="159">
        <f t="shared" si="50"/>
        <v>54400</v>
      </c>
      <c r="P110" s="140">
        <v>1700</v>
      </c>
      <c r="Q110" s="151">
        <f t="shared" si="62"/>
        <v>13600</v>
      </c>
      <c r="R110" s="225">
        <v>1700</v>
      </c>
      <c r="S110" s="280">
        <f t="shared" si="63"/>
        <v>13600</v>
      </c>
      <c r="T110" s="280">
        <v>1700</v>
      </c>
      <c r="U110" s="281">
        <f t="shared" si="64"/>
        <v>13600</v>
      </c>
      <c r="V110" s="140">
        <v>1700</v>
      </c>
      <c r="W110" s="140">
        <f t="shared" si="65"/>
        <v>13600</v>
      </c>
      <c r="X110" s="146"/>
      <c r="Y110" s="269">
        <f t="shared" si="59"/>
        <v>0</v>
      </c>
      <c r="Z110" s="269">
        <f t="shared" si="60"/>
        <v>6800</v>
      </c>
      <c r="AA110" s="149">
        <f t="shared" si="61"/>
        <v>1700</v>
      </c>
      <c r="AB110" s="149">
        <v>5500</v>
      </c>
      <c r="AC110" s="149">
        <v>41800</v>
      </c>
      <c r="AD110" s="149">
        <f t="shared" si="66"/>
        <v>7.6</v>
      </c>
      <c r="AE110" s="150">
        <f t="shared" si="42"/>
        <v>6600</v>
      </c>
      <c r="AH110" s="149" t="s">
        <v>1374</v>
      </c>
    </row>
    <row r="111" spans="1:31" ht="15">
      <c r="A111" s="140">
        <v>10949</v>
      </c>
      <c r="B111" s="225">
        <v>103</v>
      </c>
      <c r="C111" s="225"/>
      <c r="D111" s="187" t="s">
        <v>370</v>
      </c>
      <c r="E111" s="187"/>
      <c r="F111" s="225">
        <v>1</v>
      </c>
      <c r="G111" s="140" t="s">
        <v>411</v>
      </c>
      <c r="H111" s="140">
        <v>325</v>
      </c>
      <c r="I111" s="140">
        <v>271</v>
      </c>
      <c r="J111" s="143">
        <f t="shared" si="40"/>
        <v>403.20000000000005</v>
      </c>
      <c r="K111" s="142">
        <v>400</v>
      </c>
      <c r="L111" s="140">
        <v>40</v>
      </c>
      <c r="M111" s="142">
        <f t="shared" si="41"/>
        <v>360</v>
      </c>
      <c r="N111" s="160">
        <v>22.2916</v>
      </c>
      <c r="O111" s="159">
        <f t="shared" si="50"/>
        <v>8024.976</v>
      </c>
      <c r="P111" s="140">
        <v>96</v>
      </c>
      <c r="Q111" s="151">
        <f t="shared" si="62"/>
        <v>2139.9936</v>
      </c>
      <c r="R111" s="225">
        <v>96</v>
      </c>
      <c r="S111" s="280">
        <f t="shared" si="63"/>
        <v>2139.9936</v>
      </c>
      <c r="T111" s="280">
        <v>96</v>
      </c>
      <c r="U111" s="281">
        <f t="shared" si="64"/>
        <v>2139.9936</v>
      </c>
      <c r="V111" s="140">
        <v>72</v>
      </c>
      <c r="W111" s="140">
        <f t="shared" si="65"/>
        <v>1604.9951999999998</v>
      </c>
      <c r="X111" s="146"/>
      <c r="Y111" s="269">
        <f t="shared" si="59"/>
        <v>0</v>
      </c>
      <c r="Z111" s="269">
        <f t="shared" si="60"/>
        <v>360</v>
      </c>
      <c r="AA111" s="149">
        <f t="shared" si="61"/>
        <v>90</v>
      </c>
      <c r="AB111" s="149">
        <f>14*24</f>
        <v>336</v>
      </c>
      <c r="AC111" s="149">
        <v>5542.599999999999</v>
      </c>
      <c r="AD111" s="149">
        <f t="shared" si="66"/>
        <v>16.49583333333333</v>
      </c>
      <c r="AE111" s="150">
        <f t="shared" si="42"/>
        <v>403.20000000000005</v>
      </c>
    </row>
    <row r="112" spans="1:31" ht="15">
      <c r="A112" s="140">
        <v>10949</v>
      </c>
      <c r="B112" s="221">
        <v>104</v>
      </c>
      <c r="C112" s="221"/>
      <c r="D112" s="187" t="s">
        <v>371</v>
      </c>
      <c r="E112" s="187"/>
      <c r="F112" s="225">
        <v>1</v>
      </c>
      <c r="G112" s="140" t="s">
        <v>411</v>
      </c>
      <c r="H112" s="140">
        <v>974</v>
      </c>
      <c r="I112" s="140">
        <v>1041</v>
      </c>
      <c r="J112" s="143">
        <f t="shared" si="40"/>
        <v>1260</v>
      </c>
      <c r="K112" s="142">
        <v>1300</v>
      </c>
      <c r="L112" s="140">
        <v>100</v>
      </c>
      <c r="M112" s="142">
        <f t="shared" si="41"/>
        <v>1200</v>
      </c>
      <c r="N112" s="160">
        <v>99.8774</v>
      </c>
      <c r="O112" s="159">
        <f t="shared" si="50"/>
        <v>119852.87999999999</v>
      </c>
      <c r="P112" s="140">
        <v>300</v>
      </c>
      <c r="Q112" s="151">
        <f t="shared" si="62"/>
        <v>29963.219999999998</v>
      </c>
      <c r="R112" s="225">
        <v>300</v>
      </c>
      <c r="S112" s="280">
        <f t="shared" si="63"/>
        <v>29963.219999999998</v>
      </c>
      <c r="T112" s="280">
        <v>300</v>
      </c>
      <c r="U112" s="281">
        <f t="shared" si="64"/>
        <v>29963.219999999998</v>
      </c>
      <c r="V112" s="140">
        <v>300</v>
      </c>
      <c r="W112" s="140">
        <f t="shared" si="65"/>
        <v>29963.219999999998</v>
      </c>
      <c r="X112" s="146"/>
      <c r="Y112" s="269">
        <f t="shared" si="59"/>
        <v>0</v>
      </c>
      <c r="Z112" s="269">
        <f t="shared" si="60"/>
        <v>1200</v>
      </c>
      <c r="AA112" s="149">
        <f t="shared" si="61"/>
        <v>300</v>
      </c>
      <c r="AB112" s="149">
        <f>350*3</f>
        <v>1050</v>
      </c>
      <c r="AC112" s="149">
        <v>97370</v>
      </c>
      <c r="AD112" s="149">
        <f t="shared" si="66"/>
        <v>92.73333333333333</v>
      </c>
      <c r="AE112" s="150">
        <f t="shared" si="42"/>
        <v>1260</v>
      </c>
    </row>
    <row r="113" spans="1:31" ht="15">
      <c r="A113" s="140">
        <v>10949</v>
      </c>
      <c r="B113" s="225">
        <v>105</v>
      </c>
      <c r="C113" s="285"/>
      <c r="D113" s="286" t="s">
        <v>372</v>
      </c>
      <c r="E113" s="286"/>
      <c r="F113" s="225">
        <v>1</v>
      </c>
      <c r="G113" s="140" t="s">
        <v>1237</v>
      </c>
      <c r="H113" s="140">
        <v>1163</v>
      </c>
      <c r="I113" s="143">
        <v>1224</v>
      </c>
      <c r="J113" s="143">
        <f t="shared" si="40"/>
        <v>614.4000000000001</v>
      </c>
      <c r="K113" s="142">
        <v>1000</v>
      </c>
      <c r="L113" s="140">
        <v>0</v>
      </c>
      <c r="M113" s="142">
        <f t="shared" si="41"/>
        <v>1000</v>
      </c>
      <c r="N113" s="140">
        <v>15</v>
      </c>
      <c r="O113" s="159">
        <f t="shared" si="50"/>
        <v>15000</v>
      </c>
      <c r="P113" s="140">
        <v>250</v>
      </c>
      <c r="Q113" s="151">
        <f t="shared" si="62"/>
        <v>3750</v>
      </c>
      <c r="R113" s="225">
        <v>250</v>
      </c>
      <c r="S113" s="280">
        <f t="shared" si="63"/>
        <v>3750</v>
      </c>
      <c r="T113" s="280">
        <v>250</v>
      </c>
      <c r="U113" s="281">
        <f t="shared" si="64"/>
        <v>3750</v>
      </c>
      <c r="V113" s="140">
        <v>250</v>
      </c>
      <c r="W113" s="140">
        <f t="shared" si="65"/>
        <v>3750</v>
      </c>
      <c r="X113" s="146"/>
      <c r="Y113" s="269">
        <f t="shared" si="59"/>
        <v>0</v>
      </c>
      <c r="Z113" s="269">
        <f t="shared" si="60"/>
        <v>1000</v>
      </c>
      <c r="AA113" s="149">
        <f t="shared" si="61"/>
        <v>250</v>
      </c>
      <c r="AB113" s="149">
        <v>512</v>
      </c>
      <c r="AC113" s="149">
        <v>8750</v>
      </c>
      <c r="AD113" s="149">
        <f t="shared" si="66"/>
        <v>17.08984375</v>
      </c>
      <c r="AE113" s="150">
        <f t="shared" si="42"/>
        <v>614.4000000000001</v>
      </c>
    </row>
    <row r="114" spans="1:31" ht="15">
      <c r="A114" s="140">
        <v>10949</v>
      </c>
      <c r="B114" s="221">
        <v>106</v>
      </c>
      <c r="C114" s="221"/>
      <c r="D114" s="187" t="s">
        <v>1421</v>
      </c>
      <c r="E114" s="187"/>
      <c r="F114" s="221">
        <v>1</v>
      </c>
      <c r="G114" s="140" t="s">
        <v>409</v>
      </c>
      <c r="H114" s="140">
        <v>36</v>
      </c>
      <c r="I114" s="140">
        <v>12</v>
      </c>
      <c r="J114" s="143">
        <f t="shared" si="40"/>
        <v>0</v>
      </c>
      <c r="K114" s="142">
        <v>0</v>
      </c>
      <c r="L114" s="140">
        <v>156</v>
      </c>
      <c r="M114" s="142">
        <v>0</v>
      </c>
      <c r="N114" s="140">
        <v>85.83333</v>
      </c>
      <c r="O114" s="159">
        <f t="shared" si="50"/>
        <v>0</v>
      </c>
      <c r="P114" s="140">
        <v>0</v>
      </c>
      <c r="Q114" s="151">
        <f t="shared" si="62"/>
        <v>0</v>
      </c>
      <c r="R114" s="225">
        <v>0</v>
      </c>
      <c r="S114" s="280">
        <f t="shared" si="63"/>
        <v>0</v>
      </c>
      <c r="T114" s="280">
        <v>0</v>
      </c>
      <c r="U114" s="146">
        <f t="shared" si="64"/>
        <v>0</v>
      </c>
      <c r="V114" s="140">
        <v>0</v>
      </c>
      <c r="W114" s="140">
        <f t="shared" si="65"/>
        <v>0</v>
      </c>
      <c r="X114" s="146"/>
      <c r="Y114" s="269">
        <f aca="true" t="shared" si="67" ref="Y114:Y119">M114-Z114</f>
        <v>0</v>
      </c>
      <c r="Z114" s="269">
        <f aca="true" t="shared" si="68" ref="Z114:Z119">P114+R114+T114+V114</f>
        <v>0</v>
      </c>
      <c r="AA114" s="149">
        <f aca="true" t="shared" si="69" ref="AA114:AA119">M114/4</f>
        <v>0</v>
      </c>
      <c r="AD114" s="149" t="e">
        <f t="shared" si="66"/>
        <v>#DIV/0!</v>
      </c>
      <c r="AE114" s="150">
        <f t="shared" si="42"/>
        <v>0</v>
      </c>
    </row>
    <row r="115" spans="1:31" ht="15">
      <c r="A115" s="140">
        <v>10949</v>
      </c>
      <c r="B115" s="225">
        <v>107</v>
      </c>
      <c r="C115" s="221"/>
      <c r="D115" s="187" t="s">
        <v>373</v>
      </c>
      <c r="E115" s="187"/>
      <c r="F115" s="225">
        <v>1</v>
      </c>
      <c r="G115" s="140" t="s">
        <v>411</v>
      </c>
      <c r="H115" s="140">
        <v>72</v>
      </c>
      <c r="I115" s="143">
        <v>96</v>
      </c>
      <c r="J115" s="143">
        <f>AE115</f>
        <v>158.39999999999998</v>
      </c>
      <c r="K115" s="142">
        <v>160</v>
      </c>
      <c r="L115" s="140">
        <v>40</v>
      </c>
      <c r="M115" s="142">
        <f>K115-L115</f>
        <v>120</v>
      </c>
      <c r="N115" s="140">
        <v>32</v>
      </c>
      <c r="O115" s="159">
        <f t="shared" si="50"/>
        <v>3840</v>
      </c>
      <c r="P115" s="140">
        <v>36</v>
      </c>
      <c r="Q115" s="151">
        <f>P115*N115</f>
        <v>1152</v>
      </c>
      <c r="R115" s="225">
        <v>36</v>
      </c>
      <c r="S115" s="280">
        <f>R115*N115</f>
        <v>1152</v>
      </c>
      <c r="T115" s="280">
        <v>24</v>
      </c>
      <c r="U115" s="281">
        <f>T115*N115</f>
        <v>768</v>
      </c>
      <c r="V115" s="140">
        <v>24</v>
      </c>
      <c r="W115" s="140">
        <f>V115*N115</f>
        <v>768</v>
      </c>
      <c r="X115" s="146"/>
      <c r="Y115" s="269">
        <f t="shared" si="67"/>
        <v>0</v>
      </c>
      <c r="Z115" s="269">
        <f t="shared" si="68"/>
        <v>120</v>
      </c>
      <c r="AA115" s="149">
        <f t="shared" si="69"/>
        <v>30</v>
      </c>
      <c r="AB115" s="149">
        <f>11*12</f>
        <v>132</v>
      </c>
      <c r="AC115" s="149">
        <v>4180</v>
      </c>
      <c r="AD115" s="149">
        <f>AC115/AB115</f>
        <v>31.666666666666668</v>
      </c>
      <c r="AE115" s="150">
        <f>AB115/10*12</f>
        <v>158.39999999999998</v>
      </c>
    </row>
    <row r="116" spans="1:31" ht="15">
      <c r="A116" s="140">
        <v>10949</v>
      </c>
      <c r="B116" s="221">
        <v>108</v>
      </c>
      <c r="C116" s="221"/>
      <c r="D116" s="187" t="s">
        <v>374</v>
      </c>
      <c r="E116" s="187"/>
      <c r="F116" s="225">
        <v>1</v>
      </c>
      <c r="G116" s="140" t="s">
        <v>411</v>
      </c>
      <c r="H116" s="140">
        <v>71</v>
      </c>
      <c r="I116" s="143">
        <v>60</v>
      </c>
      <c r="J116" s="143">
        <f>AE116</f>
        <v>72</v>
      </c>
      <c r="K116" s="142">
        <v>75</v>
      </c>
      <c r="L116" s="140">
        <v>15</v>
      </c>
      <c r="M116" s="142">
        <f>K116-L116</f>
        <v>60</v>
      </c>
      <c r="N116" s="140">
        <v>40</v>
      </c>
      <c r="O116" s="159">
        <f t="shared" si="50"/>
        <v>2400</v>
      </c>
      <c r="P116" s="140">
        <v>36</v>
      </c>
      <c r="Q116" s="151">
        <f>P116*N116</f>
        <v>1440</v>
      </c>
      <c r="R116" s="225">
        <v>0</v>
      </c>
      <c r="S116" s="280">
        <f>R116*N116</f>
        <v>0</v>
      </c>
      <c r="T116" s="280">
        <v>24</v>
      </c>
      <c r="U116" s="281">
        <f>T116*N116</f>
        <v>960</v>
      </c>
      <c r="V116" s="140">
        <v>0</v>
      </c>
      <c r="W116" s="140">
        <f>V116*N116</f>
        <v>0</v>
      </c>
      <c r="X116" s="146"/>
      <c r="Y116" s="269">
        <f t="shared" si="67"/>
        <v>0</v>
      </c>
      <c r="Z116" s="269">
        <f t="shared" si="68"/>
        <v>60</v>
      </c>
      <c r="AA116" s="149">
        <f t="shared" si="69"/>
        <v>15</v>
      </c>
      <c r="AB116" s="149">
        <f>5*12</f>
        <v>60</v>
      </c>
      <c r="AC116" s="149">
        <v>2400</v>
      </c>
      <c r="AD116" s="149">
        <f>AC116/AB116</f>
        <v>40</v>
      </c>
      <c r="AE116" s="150">
        <f>AB116/10*12</f>
        <v>72</v>
      </c>
    </row>
    <row r="117" spans="1:31" ht="15">
      <c r="A117" s="140">
        <v>10949</v>
      </c>
      <c r="B117" s="225">
        <v>109</v>
      </c>
      <c r="C117" s="221"/>
      <c r="D117" s="187" t="s">
        <v>375</v>
      </c>
      <c r="E117" s="187"/>
      <c r="F117" s="225">
        <v>1</v>
      </c>
      <c r="G117" s="140" t="s">
        <v>411</v>
      </c>
      <c r="H117" s="140">
        <v>32</v>
      </c>
      <c r="I117" s="143">
        <v>0</v>
      </c>
      <c r="J117" s="143">
        <f>AE117</f>
        <v>0</v>
      </c>
      <c r="K117" s="142">
        <v>12</v>
      </c>
      <c r="L117" s="140">
        <v>24</v>
      </c>
      <c r="M117" s="142">
        <v>0</v>
      </c>
      <c r="N117" s="140">
        <v>57</v>
      </c>
      <c r="O117" s="159">
        <f t="shared" si="50"/>
        <v>0</v>
      </c>
      <c r="P117" s="140">
        <v>0</v>
      </c>
      <c r="Q117" s="151">
        <f>P117*N117</f>
        <v>0</v>
      </c>
      <c r="R117" s="225">
        <v>0</v>
      </c>
      <c r="S117" s="280">
        <f>R117*N117</f>
        <v>0</v>
      </c>
      <c r="T117" s="280">
        <v>0</v>
      </c>
      <c r="U117" s="281">
        <f>T117*N117</f>
        <v>0</v>
      </c>
      <c r="V117" s="140">
        <v>0</v>
      </c>
      <c r="W117" s="140">
        <f>V117*N117</f>
        <v>0</v>
      </c>
      <c r="X117" s="146"/>
      <c r="Y117" s="269">
        <f t="shared" si="67"/>
        <v>0</v>
      </c>
      <c r="Z117" s="269">
        <f t="shared" si="68"/>
        <v>0</v>
      </c>
      <c r="AA117" s="149">
        <f t="shared" si="69"/>
        <v>0</v>
      </c>
      <c r="AD117" s="149" t="e">
        <f>AC117/AB117</f>
        <v>#DIV/0!</v>
      </c>
      <c r="AE117" s="150">
        <f>AB117/10*12</f>
        <v>0</v>
      </c>
    </row>
    <row r="118" spans="1:31" ht="15">
      <c r="A118" s="140">
        <v>10949</v>
      </c>
      <c r="B118" s="221">
        <v>110</v>
      </c>
      <c r="C118" s="221"/>
      <c r="D118" s="187" t="s">
        <v>1425</v>
      </c>
      <c r="E118" s="187"/>
      <c r="F118" s="225">
        <v>1</v>
      </c>
      <c r="G118" s="140" t="s">
        <v>1240</v>
      </c>
      <c r="H118" s="140">
        <v>1429</v>
      </c>
      <c r="I118" s="143">
        <v>1610</v>
      </c>
      <c r="J118" s="143">
        <f>AE118</f>
        <v>982.8000000000001</v>
      </c>
      <c r="K118" s="142">
        <v>1500</v>
      </c>
      <c r="L118" s="140">
        <v>300</v>
      </c>
      <c r="M118" s="142">
        <f>K118-L118</f>
        <v>1200</v>
      </c>
      <c r="N118" s="140">
        <v>20</v>
      </c>
      <c r="O118" s="159">
        <f t="shared" si="50"/>
        <v>24000</v>
      </c>
      <c r="P118" s="140">
        <v>300</v>
      </c>
      <c r="Q118" s="151">
        <f>P118*N118</f>
        <v>6000</v>
      </c>
      <c r="R118" s="225">
        <v>300</v>
      </c>
      <c r="S118" s="280">
        <f>R118*N118</f>
        <v>6000</v>
      </c>
      <c r="T118" s="280">
        <v>300</v>
      </c>
      <c r="U118" s="281">
        <f>T118*N118</f>
        <v>6000</v>
      </c>
      <c r="V118" s="140">
        <v>300</v>
      </c>
      <c r="W118" s="140">
        <f>V118*N118</f>
        <v>6000</v>
      </c>
      <c r="X118" s="146"/>
      <c r="Y118" s="269">
        <f t="shared" si="67"/>
        <v>0</v>
      </c>
      <c r="Z118" s="269">
        <f t="shared" si="68"/>
        <v>1200</v>
      </c>
      <c r="AA118" s="149">
        <f t="shared" si="69"/>
        <v>300</v>
      </c>
      <c r="AB118" s="149">
        <v>819</v>
      </c>
      <c r="AC118" s="149">
        <v>22800</v>
      </c>
      <c r="AD118" s="149">
        <f>AC118/AB118</f>
        <v>27.83882783882784</v>
      </c>
      <c r="AE118" s="150">
        <f>AB118/10*12</f>
        <v>982.8000000000001</v>
      </c>
    </row>
    <row r="119" spans="1:31" ht="15">
      <c r="A119" s="140">
        <v>10949</v>
      </c>
      <c r="B119" s="225">
        <v>111</v>
      </c>
      <c r="C119" s="221"/>
      <c r="D119" s="187" t="s">
        <v>1429</v>
      </c>
      <c r="E119" s="187"/>
      <c r="F119" s="221">
        <v>1</v>
      </c>
      <c r="G119" s="221" t="s">
        <v>409</v>
      </c>
      <c r="H119" s="140">
        <v>3100</v>
      </c>
      <c r="I119" s="140">
        <v>3900</v>
      </c>
      <c r="J119" s="143">
        <f>AE119</f>
        <v>5040</v>
      </c>
      <c r="K119" s="142">
        <v>5000</v>
      </c>
      <c r="L119" s="140">
        <v>1000</v>
      </c>
      <c r="M119" s="142">
        <f>K119-L119</f>
        <v>4000</v>
      </c>
      <c r="N119" s="140">
        <v>2.4</v>
      </c>
      <c r="O119" s="159">
        <f t="shared" si="50"/>
        <v>9600</v>
      </c>
      <c r="P119" s="225">
        <v>1000</v>
      </c>
      <c r="Q119" s="151">
        <f>P119*N119</f>
        <v>2400</v>
      </c>
      <c r="R119" s="225">
        <v>1000</v>
      </c>
      <c r="S119" s="280">
        <f>R119*N119</f>
        <v>2400</v>
      </c>
      <c r="T119" s="146">
        <v>1000</v>
      </c>
      <c r="U119" s="146">
        <f>T119*N119</f>
        <v>2400</v>
      </c>
      <c r="V119" s="140">
        <v>1000</v>
      </c>
      <c r="W119" s="140">
        <f>V119*N119</f>
        <v>2400</v>
      </c>
      <c r="X119" s="146"/>
      <c r="Y119" s="269">
        <f t="shared" si="67"/>
        <v>0</v>
      </c>
      <c r="Z119" s="269">
        <f t="shared" si="68"/>
        <v>4000</v>
      </c>
      <c r="AA119" s="149">
        <f t="shared" si="69"/>
        <v>1000</v>
      </c>
      <c r="AB119" s="149">
        <v>4200</v>
      </c>
      <c r="AC119" s="149">
        <v>9460</v>
      </c>
      <c r="AD119" s="149">
        <f>AC119/AB119</f>
        <v>2.2523809523809524</v>
      </c>
      <c r="AE119" s="150">
        <f>AB119/10*12</f>
        <v>5040</v>
      </c>
    </row>
    <row r="120" spans="1:26" ht="15">
      <c r="A120" s="140">
        <v>10949</v>
      </c>
      <c r="B120" s="221">
        <v>112</v>
      </c>
      <c r="C120" s="221"/>
      <c r="D120" s="270"/>
      <c r="E120" s="270"/>
      <c r="F120" s="225"/>
      <c r="G120" s="140"/>
      <c r="H120" s="140"/>
      <c r="I120" s="140"/>
      <c r="J120" s="143"/>
      <c r="K120" s="287"/>
      <c r="L120" s="140"/>
      <c r="M120" s="142"/>
      <c r="N120" s="140"/>
      <c r="O120" s="288"/>
      <c r="P120" s="140"/>
      <c r="Q120" s="151"/>
      <c r="R120" s="140"/>
      <c r="S120" s="280"/>
      <c r="T120" s="140"/>
      <c r="U120" s="281"/>
      <c r="V120" s="140"/>
      <c r="W120" s="140"/>
      <c r="X120" s="146"/>
      <c r="Y120" s="269"/>
      <c r="Z120" s="269"/>
    </row>
    <row r="121" spans="1:26" ht="15">
      <c r="A121" s="140">
        <v>10949</v>
      </c>
      <c r="B121" s="225">
        <v>113</v>
      </c>
      <c r="C121" s="221"/>
      <c r="D121" s="270"/>
      <c r="E121" s="270"/>
      <c r="F121" s="225"/>
      <c r="G121" s="225"/>
      <c r="H121" s="140"/>
      <c r="I121" s="140"/>
      <c r="J121" s="143"/>
      <c r="K121" s="287"/>
      <c r="L121" s="140"/>
      <c r="M121" s="142"/>
      <c r="N121" s="140"/>
      <c r="O121" s="288"/>
      <c r="P121" s="140"/>
      <c r="Q121" s="151"/>
      <c r="R121" s="140"/>
      <c r="S121" s="280"/>
      <c r="T121" s="140"/>
      <c r="U121" s="281"/>
      <c r="V121" s="140"/>
      <c r="W121" s="140"/>
      <c r="X121" s="146"/>
      <c r="Y121" s="269"/>
      <c r="Z121" s="269"/>
    </row>
    <row r="122" spans="1:24" ht="15">
      <c r="A122" s="273"/>
      <c r="B122" s="284"/>
      <c r="C122" s="197"/>
      <c r="D122" s="197"/>
      <c r="E122" s="197"/>
      <c r="F122" s="157"/>
      <c r="G122" s="157"/>
      <c r="H122" s="197"/>
      <c r="I122" s="197"/>
      <c r="J122" s="197"/>
      <c r="K122" s="197"/>
      <c r="L122" s="197"/>
      <c r="M122" s="272" t="s">
        <v>1392</v>
      </c>
      <c r="N122" s="197"/>
      <c r="O122" s="227">
        <f>SUM(O3:O121)</f>
        <v>3446371.3163999985</v>
      </c>
      <c r="P122" s="159"/>
      <c r="Q122" s="159">
        <f>SUM(Q3:Q121)</f>
        <v>885501.5245199997</v>
      </c>
      <c r="R122" s="159"/>
      <c r="S122" s="159">
        <f>SUM(S3:S121)</f>
        <v>839568.8101199998</v>
      </c>
      <c r="T122" s="159"/>
      <c r="U122" s="159">
        <f>SUM(U3:U121)</f>
        <v>885681.1300399997</v>
      </c>
      <c r="V122" s="159"/>
      <c r="W122" s="159">
        <f>SUM(W3:W121)</f>
        <v>835619.8517199998</v>
      </c>
      <c r="X122" s="146"/>
    </row>
    <row r="123" ht="15"/>
    <row r="124" ht="15"/>
    <row r="125" ht="15">
      <c r="O125" s="149"/>
    </row>
    <row r="126" ht="15">
      <c r="O126" s="149"/>
    </row>
    <row r="127" spans="6:23" ht="21.75">
      <c r="F127" s="231"/>
      <c r="G127" s="231"/>
      <c r="H127" s="125"/>
      <c r="I127" s="125"/>
      <c r="J127" s="125"/>
      <c r="K127" s="125"/>
      <c r="L127" s="125"/>
      <c r="M127" s="129"/>
      <c r="N127" s="125"/>
      <c r="O127" s="129"/>
      <c r="P127" s="125"/>
      <c r="Q127" s="232"/>
      <c r="R127" s="128"/>
      <c r="S127" s="128"/>
      <c r="T127" s="128"/>
      <c r="U127" s="128"/>
      <c r="V127" s="128"/>
      <c r="W127" s="128"/>
    </row>
    <row r="128" spans="6:31" ht="21.75">
      <c r="F128" s="231"/>
      <c r="G128" s="125" t="s">
        <v>1577</v>
      </c>
      <c r="H128" s="231"/>
      <c r="I128" s="231"/>
      <c r="J128" s="231"/>
      <c r="K128" s="125"/>
      <c r="L128" s="125" t="s">
        <v>1393</v>
      </c>
      <c r="M128" s="125"/>
      <c r="N128" s="231"/>
      <c r="O128" s="232"/>
      <c r="P128" s="128" t="s">
        <v>1394</v>
      </c>
      <c r="Q128" s="128"/>
      <c r="R128" s="231"/>
      <c r="S128" s="231"/>
      <c r="T128" s="128"/>
      <c r="U128" s="128" t="s">
        <v>1451</v>
      </c>
      <c r="V128" s="128"/>
      <c r="W128" s="125"/>
      <c r="AA128" s="150"/>
      <c r="AE128" s="149"/>
    </row>
    <row r="129" spans="6:31" ht="21.75">
      <c r="F129" s="231"/>
      <c r="G129" s="125" t="s">
        <v>1578</v>
      </c>
      <c r="H129" s="231"/>
      <c r="I129" s="231"/>
      <c r="J129" s="231"/>
      <c r="K129" s="125"/>
      <c r="L129" s="125" t="s">
        <v>1395</v>
      </c>
      <c r="M129" s="125"/>
      <c r="N129" s="231"/>
      <c r="O129" s="232"/>
      <c r="P129" s="128" t="s">
        <v>1396</v>
      </c>
      <c r="Q129" s="128"/>
      <c r="R129" s="231"/>
      <c r="S129" s="231"/>
      <c r="T129" s="128"/>
      <c r="U129" s="128" t="s">
        <v>1397</v>
      </c>
      <c r="V129" s="128"/>
      <c r="W129" s="125"/>
      <c r="AA129" s="150"/>
      <c r="AE129" s="149"/>
    </row>
    <row r="130" spans="6:31" ht="21.75">
      <c r="F130" s="231"/>
      <c r="G130" s="125" t="s">
        <v>1580</v>
      </c>
      <c r="H130" s="231"/>
      <c r="I130" s="231"/>
      <c r="J130" s="231"/>
      <c r="K130" s="125"/>
      <c r="L130" s="125" t="s">
        <v>1581</v>
      </c>
      <c r="M130" s="125"/>
      <c r="N130" s="231"/>
      <c r="O130" s="232"/>
      <c r="P130" s="128" t="s">
        <v>1398</v>
      </c>
      <c r="Q130" s="128"/>
      <c r="R130" s="231"/>
      <c r="S130" s="231"/>
      <c r="T130" s="128"/>
      <c r="U130" s="128" t="s">
        <v>1399</v>
      </c>
      <c r="V130" s="128"/>
      <c r="W130" s="125"/>
      <c r="AA130" s="150"/>
      <c r="AE130" s="149"/>
    </row>
    <row r="133" ht="15"/>
    <row r="134" ht="15"/>
    <row r="136" ht="15"/>
    <row r="137" ht="15"/>
    <row r="139" ht="15"/>
    <row r="151" ht="15"/>
    <row r="152" ht="15"/>
    <row r="153" ht="15"/>
    <row r="155" ht="15"/>
    <row r="159" ht="15"/>
    <row r="160" ht="15"/>
    <row r="161" ht="15"/>
    <row r="163" ht="15"/>
  </sheetData>
  <sheetProtection/>
  <printOptions/>
  <pageMargins left="0.5511811023622047" right="0.1968503937007874" top="0.7874015748031497" bottom="0.7874015748031497" header="0.31496062992125984" footer="0.31496062992125984"/>
  <pageSetup horizontalDpi="600" verticalDpi="600" orientation="landscape" paperSize="5" scale="98" r:id="rId3"/>
  <headerFooter alignWithMargins="0">
    <oddHeader>&amp;C&amp;"Cordia New,ตัวหนา"&amp;18แผนการจัดซื้อเวชภัณฑ์มิใช่ยา  กลุ่มงานเภสัชกรรมและคุ้มครองผู้บริโภค  โรงพยาบาลน้ำยืน  ประจำปีงบประมาณ  2565</oddHeader>
    <oddFooter>&amp;C&amp;A&amp;Rหน้าที่ &amp;ห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view="pageLayout" zoomScale="110" zoomScaleNormal="110" zoomScalePageLayoutView="110" workbookViewId="0" topLeftCell="B1">
      <selection activeCell="K10" sqref="K10"/>
    </sheetView>
  </sheetViews>
  <sheetFormatPr defaultColWidth="9.140625" defaultRowHeight="21.75"/>
  <cols>
    <col min="1" max="1" width="0" style="239" hidden="1" customWidth="1"/>
    <col min="2" max="2" width="6.00390625" style="239" customWidth="1"/>
    <col min="3" max="3" width="19.421875" style="239" hidden="1" customWidth="1"/>
    <col min="4" max="4" width="9.140625" style="239" hidden="1" customWidth="1"/>
    <col min="5" max="5" width="5.28125" style="239" hidden="1" customWidth="1"/>
    <col min="6" max="6" width="17.140625" style="239" hidden="1" customWidth="1"/>
    <col min="7" max="7" width="23.421875" style="239" customWidth="1"/>
    <col min="8" max="8" width="6.140625" style="239" customWidth="1"/>
    <col min="9" max="9" width="6.421875" style="249" customWidth="1"/>
    <col min="10" max="10" width="7.140625" style="249" customWidth="1"/>
    <col min="11" max="11" width="6.421875" style="239" customWidth="1"/>
    <col min="12" max="12" width="6.57421875" style="239" customWidth="1"/>
    <col min="13" max="13" width="6.7109375" style="149" customWidth="1"/>
    <col min="14" max="14" width="8.8515625" style="239" customWidth="1"/>
    <col min="15" max="15" width="7.140625" style="239" customWidth="1"/>
    <col min="16" max="16" width="9.00390625" style="313" customWidth="1"/>
    <col min="17" max="17" width="8.00390625" style="239" customWidth="1"/>
    <col min="18" max="18" width="8.28125" style="251" customWidth="1"/>
    <col min="19" max="19" width="7.00390625" style="239" customWidth="1"/>
    <col min="20" max="20" width="9.28125" style="239" customWidth="1"/>
    <col min="21" max="21" width="6.421875" style="239" customWidth="1"/>
    <col min="22" max="22" width="9.8515625" style="239" customWidth="1"/>
    <col min="23" max="23" width="7.421875" style="239" customWidth="1"/>
    <col min="24" max="24" width="9.57421875" style="239" customWidth="1"/>
    <col min="25" max="25" width="7.421875" style="239" customWidth="1"/>
    <col min="26" max="26" width="8.140625" style="239" customWidth="1"/>
    <col min="27" max="27" width="7.421875" style="239" customWidth="1"/>
    <col min="28" max="28" width="9.140625" style="239" customWidth="1"/>
    <col min="29" max="29" width="10.57421875" style="239" customWidth="1"/>
    <col min="30" max="30" width="9.57421875" style="239" customWidth="1"/>
    <col min="31" max="31" width="8.8515625" style="239" customWidth="1"/>
    <col min="32" max="32" width="20.7109375" style="239" customWidth="1"/>
    <col min="33" max="16384" width="8.8515625" style="239" customWidth="1"/>
  </cols>
  <sheetData>
    <row r="1" spans="1:34" ht="15">
      <c r="A1" s="233" t="s">
        <v>1199</v>
      </c>
      <c r="B1" s="233" t="s">
        <v>2</v>
      </c>
      <c r="C1" s="234" t="s">
        <v>1215</v>
      </c>
      <c r="D1" s="233" t="s">
        <v>1199</v>
      </c>
      <c r="E1" s="233" t="s">
        <v>2</v>
      </c>
      <c r="F1" s="234" t="s">
        <v>1215</v>
      </c>
      <c r="G1" s="234" t="s">
        <v>1216</v>
      </c>
      <c r="H1" s="234" t="s">
        <v>1202</v>
      </c>
      <c r="I1" s="233" t="s">
        <v>1579</v>
      </c>
      <c r="J1" s="234" t="s">
        <v>1203</v>
      </c>
      <c r="K1" s="289"/>
      <c r="L1" s="290" t="s">
        <v>1205</v>
      </c>
      <c r="M1" s="132"/>
      <c r="N1" s="234" t="s">
        <v>0</v>
      </c>
      <c r="O1" s="234" t="s">
        <v>1214</v>
      </c>
      <c r="P1" s="291" t="s">
        <v>0</v>
      </c>
      <c r="Q1" s="233" t="s">
        <v>1</v>
      </c>
      <c r="R1" s="292" t="s">
        <v>1206</v>
      </c>
      <c r="S1" s="293" t="s">
        <v>1210</v>
      </c>
      <c r="T1" s="294"/>
      <c r="U1" s="293" t="s">
        <v>1209</v>
      </c>
      <c r="V1" s="295"/>
      <c r="W1" s="293" t="s">
        <v>1212</v>
      </c>
      <c r="X1" s="294"/>
      <c r="Y1" s="293" t="s">
        <v>1211</v>
      </c>
      <c r="Z1" s="295"/>
      <c r="AA1" s="238" t="s">
        <v>608</v>
      </c>
      <c r="AC1" s="239" t="s">
        <v>1318</v>
      </c>
      <c r="AD1" s="239" t="s">
        <v>1297</v>
      </c>
      <c r="AE1" s="239" t="s">
        <v>6</v>
      </c>
      <c r="AF1" s="239" t="s">
        <v>1303</v>
      </c>
      <c r="AG1" s="239" t="s">
        <v>4</v>
      </c>
      <c r="AH1" s="239" t="s">
        <v>1304</v>
      </c>
    </row>
    <row r="2" spans="1:31" ht="15">
      <c r="A2" s="296"/>
      <c r="B2" s="297"/>
      <c r="C2" s="298"/>
      <c r="D2" s="296"/>
      <c r="E2" s="297"/>
      <c r="F2" s="298"/>
      <c r="G2" s="299"/>
      <c r="H2" s="299"/>
      <c r="I2" s="300" t="s">
        <v>1204</v>
      </c>
      <c r="J2" s="299" t="s">
        <v>1204</v>
      </c>
      <c r="K2" s="136">
        <v>2562</v>
      </c>
      <c r="L2" s="136">
        <v>2563</v>
      </c>
      <c r="M2" s="136">
        <v>2564</v>
      </c>
      <c r="N2" s="136" t="s">
        <v>1537</v>
      </c>
      <c r="O2" s="299" t="s">
        <v>4</v>
      </c>
      <c r="P2" s="301" t="s">
        <v>1538</v>
      </c>
      <c r="Q2" s="300" t="s">
        <v>3</v>
      </c>
      <c r="R2" s="302" t="s">
        <v>1207</v>
      </c>
      <c r="S2" s="303" t="s">
        <v>5</v>
      </c>
      <c r="T2" s="300" t="s">
        <v>1208</v>
      </c>
      <c r="U2" s="300" t="s">
        <v>7</v>
      </c>
      <c r="V2" s="304" t="s">
        <v>1208</v>
      </c>
      <c r="W2" s="297" t="s">
        <v>5</v>
      </c>
      <c r="X2" s="297" t="s">
        <v>1208</v>
      </c>
      <c r="Y2" s="297" t="s">
        <v>7</v>
      </c>
      <c r="Z2" s="250" t="s">
        <v>1208</v>
      </c>
      <c r="AA2" s="296"/>
      <c r="AD2" s="239" t="s">
        <v>1494</v>
      </c>
      <c r="AE2" s="239" t="s">
        <v>1207</v>
      </c>
    </row>
    <row r="3" spans="1:32" ht="15">
      <c r="A3" s="242">
        <v>10949</v>
      </c>
      <c r="B3" s="242">
        <v>1</v>
      </c>
      <c r="C3" s="242"/>
      <c r="D3" s="242">
        <v>10949</v>
      </c>
      <c r="E3" s="305">
        <v>1</v>
      </c>
      <c r="F3" s="305"/>
      <c r="G3" s="243" t="s">
        <v>436</v>
      </c>
      <c r="H3" s="243" t="s">
        <v>1276</v>
      </c>
      <c r="I3" s="306">
        <v>1</v>
      </c>
      <c r="J3" s="306" t="s">
        <v>1277</v>
      </c>
      <c r="K3" s="143">
        <v>1065</v>
      </c>
      <c r="L3" s="143">
        <v>710</v>
      </c>
      <c r="M3" s="143">
        <f aca="true" t="shared" si="0" ref="M3:M8">AF3</f>
        <v>1600</v>
      </c>
      <c r="N3" s="246">
        <v>1600</v>
      </c>
      <c r="O3" s="140">
        <v>400</v>
      </c>
      <c r="P3" s="307">
        <f aca="true" t="shared" si="1" ref="P3:P8">N3-O3</f>
        <v>1200</v>
      </c>
      <c r="Q3" s="308">
        <v>10</v>
      </c>
      <c r="R3" s="244">
        <f aca="true" t="shared" si="2" ref="R3:R8">Q3*P3</f>
        <v>12000</v>
      </c>
      <c r="S3" s="305">
        <v>0</v>
      </c>
      <c r="T3" s="245">
        <f aca="true" t="shared" si="3" ref="T3:T8">S3*Q3</f>
        <v>0</v>
      </c>
      <c r="U3" s="246">
        <v>400</v>
      </c>
      <c r="V3" s="250">
        <f aca="true" t="shared" si="4" ref="V3:V8">U3*Q3</f>
        <v>4000</v>
      </c>
      <c r="W3" s="247">
        <v>400</v>
      </c>
      <c r="X3" s="247">
        <f aca="true" t="shared" si="5" ref="X3:X8">W3*Q3</f>
        <v>4000</v>
      </c>
      <c r="Y3" s="247">
        <v>400</v>
      </c>
      <c r="Z3" s="247">
        <f aca="true" t="shared" si="6" ref="Z3:Z8">Y3*Q3</f>
        <v>4000</v>
      </c>
      <c r="AA3" s="247"/>
      <c r="AD3" s="239">
        <f>24*50</f>
        <v>1200</v>
      </c>
      <c r="AE3" s="239">
        <v>8170</v>
      </c>
      <c r="AF3" s="239">
        <f aca="true" t="shared" si="7" ref="AF3:AF8">AD3/9*12</f>
        <v>1600</v>
      </c>
    </row>
    <row r="4" spans="1:32" ht="15">
      <c r="A4" s="242">
        <v>10949</v>
      </c>
      <c r="B4" s="242">
        <v>2</v>
      </c>
      <c r="C4" s="242"/>
      <c r="D4" s="242">
        <v>10949</v>
      </c>
      <c r="E4" s="242">
        <v>2</v>
      </c>
      <c r="F4" s="242"/>
      <c r="G4" s="243" t="s">
        <v>548</v>
      </c>
      <c r="H4" s="243" t="s">
        <v>1276</v>
      </c>
      <c r="I4" s="306">
        <v>50</v>
      </c>
      <c r="J4" s="306" t="s">
        <v>1278</v>
      </c>
      <c r="K4" s="143">
        <v>3</v>
      </c>
      <c r="L4" s="143">
        <v>5</v>
      </c>
      <c r="M4" s="143">
        <f t="shared" si="0"/>
        <v>17.333333333333332</v>
      </c>
      <c r="N4" s="246">
        <v>15</v>
      </c>
      <c r="O4" s="140">
        <v>10</v>
      </c>
      <c r="P4" s="307">
        <f t="shared" si="1"/>
        <v>5</v>
      </c>
      <c r="Q4" s="242">
        <v>120</v>
      </c>
      <c r="R4" s="244">
        <f t="shared" si="2"/>
        <v>600</v>
      </c>
      <c r="S4" s="242">
        <v>0</v>
      </c>
      <c r="T4" s="245">
        <f t="shared" si="3"/>
        <v>0</v>
      </c>
      <c r="U4" s="246">
        <v>5</v>
      </c>
      <c r="V4" s="250">
        <f t="shared" si="4"/>
        <v>600</v>
      </c>
      <c r="W4" s="247">
        <v>0</v>
      </c>
      <c r="X4" s="247">
        <f t="shared" si="5"/>
        <v>0</v>
      </c>
      <c r="Y4" s="247">
        <v>0</v>
      </c>
      <c r="Z4" s="247">
        <f t="shared" si="6"/>
        <v>0</v>
      </c>
      <c r="AA4" s="247"/>
      <c r="AD4" s="239">
        <v>13</v>
      </c>
      <c r="AE4" s="239">
        <v>1738.75</v>
      </c>
      <c r="AF4" s="239">
        <f t="shared" si="7"/>
        <v>17.333333333333332</v>
      </c>
    </row>
    <row r="5" spans="1:32" ht="15">
      <c r="A5" s="242">
        <v>10949</v>
      </c>
      <c r="B5" s="242">
        <v>3</v>
      </c>
      <c r="C5" s="242"/>
      <c r="D5" s="242">
        <v>10949</v>
      </c>
      <c r="E5" s="242">
        <v>3</v>
      </c>
      <c r="F5" s="242"/>
      <c r="G5" s="243" t="s">
        <v>549</v>
      </c>
      <c r="H5" s="243" t="s">
        <v>1276</v>
      </c>
      <c r="I5" s="306">
        <v>100</v>
      </c>
      <c r="J5" s="306" t="s">
        <v>1278</v>
      </c>
      <c r="K5" s="143">
        <v>3</v>
      </c>
      <c r="L5" s="143">
        <v>3</v>
      </c>
      <c r="M5" s="143">
        <f t="shared" si="0"/>
        <v>14.666666666666668</v>
      </c>
      <c r="N5" s="246">
        <v>15</v>
      </c>
      <c r="O5" s="140">
        <v>10</v>
      </c>
      <c r="P5" s="307">
        <f t="shared" si="1"/>
        <v>5</v>
      </c>
      <c r="Q5" s="242">
        <v>85</v>
      </c>
      <c r="R5" s="244">
        <f t="shared" si="2"/>
        <v>425</v>
      </c>
      <c r="S5" s="242">
        <v>0</v>
      </c>
      <c r="T5" s="245">
        <f t="shared" si="3"/>
        <v>0</v>
      </c>
      <c r="U5" s="246">
        <v>5</v>
      </c>
      <c r="V5" s="250">
        <f t="shared" si="4"/>
        <v>425</v>
      </c>
      <c r="W5" s="247">
        <v>0</v>
      </c>
      <c r="X5" s="247">
        <f t="shared" si="5"/>
        <v>0</v>
      </c>
      <c r="Y5" s="247">
        <v>0</v>
      </c>
      <c r="Z5" s="247">
        <f t="shared" si="6"/>
        <v>0</v>
      </c>
      <c r="AA5" s="247"/>
      <c r="AD5" s="239">
        <v>11</v>
      </c>
      <c r="AE5" s="239">
        <v>941.6</v>
      </c>
      <c r="AF5" s="239">
        <f t="shared" si="7"/>
        <v>14.666666666666668</v>
      </c>
    </row>
    <row r="6" spans="1:32" ht="15">
      <c r="A6" s="242">
        <v>10949</v>
      </c>
      <c r="B6" s="305">
        <v>4</v>
      </c>
      <c r="C6" s="305"/>
      <c r="D6" s="242">
        <v>10949</v>
      </c>
      <c r="E6" s="242">
        <v>4</v>
      </c>
      <c r="F6" s="242"/>
      <c r="G6" s="243" t="s">
        <v>550</v>
      </c>
      <c r="H6" s="243" t="s">
        <v>1276</v>
      </c>
      <c r="I6" s="306">
        <v>50</v>
      </c>
      <c r="J6" s="306" t="s">
        <v>1278</v>
      </c>
      <c r="K6" s="143">
        <v>3</v>
      </c>
      <c r="L6" s="143">
        <v>5</v>
      </c>
      <c r="M6" s="143">
        <f t="shared" si="0"/>
        <v>18.666666666666668</v>
      </c>
      <c r="N6" s="246">
        <v>15</v>
      </c>
      <c r="O6" s="140">
        <v>10</v>
      </c>
      <c r="P6" s="307">
        <f t="shared" si="1"/>
        <v>5</v>
      </c>
      <c r="Q6" s="242">
        <v>90</v>
      </c>
      <c r="R6" s="244">
        <f t="shared" si="2"/>
        <v>450</v>
      </c>
      <c r="S6" s="242">
        <v>0</v>
      </c>
      <c r="T6" s="245">
        <f t="shared" si="3"/>
        <v>0</v>
      </c>
      <c r="U6" s="246">
        <v>5</v>
      </c>
      <c r="V6" s="250">
        <f t="shared" si="4"/>
        <v>450</v>
      </c>
      <c r="W6" s="247">
        <v>0</v>
      </c>
      <c r="X6" s="247">
        <f t="shared" si="5"/>
        <v>0</v>
      </c>
      <c r="Y6" s="247">
        <v>0</v>
      </c>
      <c r="Z6" s="247">
        <f t="shared" si="6"/>
        <v>0</v>
      </c>
      <c r="AA6" s="247"/>
      <c r="AD6" s="239">
        <v>14</v>
      </c>
      <c r="AE6" s="239">
        <v>1647.8</v>
      </c>
      <c r="AF6" s="239">
        <f t="shared" si="7"/>
        <v>18.666666666666668</v>
      </c>
    </row>
    <row r="7" spans="1:32" ht="15">
      <c r="A7" s="242">
        <v>10949</v>
      </c>
      <c r="B7" s="242">
        <v>5</v>
      </c>
      <c r="C7" s="242"/>
      <c r="D7" s="242">
        <v>10949</v>
      </c>
      <c r="E7" s="242">
        <v>5</v>
      </c>
      <c r="F7" s="242"/>
      <c r="G7" s="243" t="s">
        <v>551</v>
      </c>
      <c r="H7" s="243" t="s">
        <v>1276</v>
      </c>
      <c r="I7" s="306">
        <v>1</v>
      </c>
      <c r="J7" s="306" t="s">
        <v>1278</v>
      </c>
      <c r="K7" s="143">
        <v>0</v>
      </c>
      <c r="L7" s="143">
        <v>100</v>
      </c>
      <c r="M7" s="143">
        <f t="shared" si="0"/>
        <v>200</v>
      </c>
      <c r="N7" s="246">
        <v>200</v>
      </c>
      <c r="O7" s="140">
        <v>100</v>
      </c>
      <c r="P7" s="307">
        <f t="shared" si="1"/>
        <v>100</v>
      </c>
      <c r="Q7" s="242">
        <v>18</v>
      </c>
      <c r="R7" s="244">
        <f t="shared" si="2"/>
        <v>1800</v>
      </c>
      <c r="S7" s="242">
        <v>0</v>
      </c>
      <c r="T7" s="245">
        <f t="shared" si="3"/>
        <v>0</v>
      </c>
      <c r="U7" s="246">
        <v>100</v>
      </c>
      <c r="V7" s="250">
        <f t="shared" si="4"/>
        <v>1800</v>
      </c>
      <c r="W7" s="247">
        <v>0</v>
      </c>
      <c r="X7" s="247">
        <f t="shared" si="5"/>
        <v>0</v>
      </c>
      <c r="Y7" s="247">
        <v>0</v>
      </c>
      <c r="Z7" s="247">
        <f t="shared" si="6"/>
        <v>0</v>
      </c>
      <c r="AA7" s="247"/>
      <c r="AD7" s="239">
        <v>150</v>
      </c>
      <c r="AE7" s="239">
        <v>4012.5</v>
      </c>
      <c r="AF7" s="239">
        <f t="shared" si="7"/>
        <v>200</v>
      </c>
    </row>
    <row r="8" spans="1:32" ht="15">
      <c r="A8" s="242">
        <v>10949</v>
      </c>
      <c r="B8" s="305">
        <v>6</v>
      </c>
      <c r="C8" s="305"/>
      <c r="D8" s="242">
        <v>10949</v>
      </c>
      <c r="E8" s="305">
        <v>6</v>
      </c>
      <c r="F8" s="305"/>
      <c r="G8" s="243" t="s">
        <v>1244</v>
      </c>
      <c r="H8" s="243" t="s">
        <v>1276</v>
      </c>
      <c r="I8" s="248">
        <v>100</v>
      </c>
      <c r="J8" s="248" t="s">
        <v>1278</v>
      </c>
      <c r="K8" s="143">
        <v>0</v>
      </c>
      <c r="L8" s="143">
        <v>0</v>
      </c>
      <c r="M8" s="143">
        <f t="shared" si="0"/>
        <v>0</v>
      </c>
      <c r="N8" s="246">
        <v>5</v>
      </c>
      <c r="O8" s="140">
        <v>0</v>
      </c>
      <c r="P8" s="307">
        <f t="shared" si="1"/>
        <v>5</v>
      </c>
      <c r="Q8" s="242">
        <v>321</v>
      </c>
      <c r="R8" s="244">
        <f t="shared" si="2"/>
        <v>1605</v>
      </c>
      <c r="S8" s="242">
        <v>0</v>
      </c>
      <c r="T8" s="245">
        <f t="shared" si="3"/>
        <v>0</v>
      </c>
      <c r="U8" s="246">
        <v>5</v>
      </c>
      <c r="V8" s="250">
        <f t="shared" si="4"/>
        <v>1605</v>
      </c>
      <c r="W8" s="247">
        <v>0</v>
      </c>
      <c r="X8" s="247">
        <f t="shared" si="5"/>
        <v>0</v>
      </c>
      <c r="Y8" s="247">
        <v>0</v>
      </c>
      <c r="Z8" s="247">
        <f t="shared" si="6"/>
        <v>0</v>
      </c>
      <c r="AA8" s="247"/>
      <c r="AF8" s="239">
        <f t="shared" si="7"/>
        <v>0</v>
      </c>
    </row>
    <row r="9" spans="1:32" ht="15">
      <c r="A9" s="242">
        <v>10949</v>
      </c>
      <c r="B9" s="242">
        <v>7</v>
      </c>
      <c r="C9" s="242"/>
      <c r="D9" s="242">
        <v>10949</v>
      </c>
      <c r="E9" s="242">
        <v>7</v>
      </c>
      <c r="F9" s="242"/>
      <c r="G9" s="243"/>
      <c r="H9" s="243"/>
      <c r="I9" s="242"/>
      <c r="J9" s="242"/>
      <c r="K9" s="140"/>
      <c r="L9" s="140"/>
      <c r="M9" s="142"/>
      <c r="N9" s="246"/>
      <c r="O9" s="140"/>
      <c r="P9" s="307"/>
      <c r="Q9" s="242"/>
      <c r="R9" s="244"/>
      <c r="S9" s="242"/>
      <c r="T9" s="245"/>
      <c r="U9" s="246"/>
      <c r="V9" s="250"/>
      <c r="W9" s="247"/>
      <c r="X9" s="247"/>
      <c r="Y9" s="247"/>
      <c r="Z9" s="247"/>
      <c r="AA9" s="247"/>
      <c r="AF9" s="239">
        <f>AD9/9*12</f>
        <v>0</v>
      </c>
    </row>
    <row r="10" spans="1:32" ht="15">
      <c r="A10" s="242">
        <v>10949</v>
      </c>
      <c r="B10" s="305">
        <v>8</v>
      </c>
      <c r="C10" s="305"/>
      <c r="D10" s="242">
        <v>10949</v>
      </c>
      <c r="E10" s="242">
        <v>8</v>
      </c>
      <c r="F10" s="242"/>
      <c r="G10" s="243"/>
      <c r="H10" s="243"/>
      <c r="I10" s="242"/>
      <c r="J10" s="242"/>
      <c r="K10" s="140"/>
      <c r="L10" s="140"/>
      <c r="M10" s="142"/>
      <c r="N10" s="246"/>
      <c r="O10" s="140"/>
      <c r="P10" s="307"/>
      <c r="Q10" s="242"/>
      <c r="R10" s="244"/>
      <c r="S10" s="242"/>
      <c r="T10" s="245"/>
      <c r="U10" s="246"/>
      <c r="V10" s="250"/>
      <c r="W10" s="247"/>
      <c r="X10" s="247"/>
      <c r="Y10" s="247"/>
      <c r="Z10" s="247"/>
      <c r="AA10" s="247"/>
      <c r="AF10" s="239">
        <f>AD10/9*12</f>
        <v>0</v>
      </c>
    </row>
    <row r="11" spans="1:32" ht="15">
      <c r="A11" s="242">
        <v>10949</v>
      </c>
      <c r="B11" s="242">
        <v>9</v>
      </c>
      <c r="C11" s="242"/>
      <c r="D11" s="242">
        <v>10949</v>
      </c>
      <c r="E11" s="242">
        <v>9</v>
      </c>
      <c r="F11" s="242"/>
      <c r="G11" s="243"/>
      <c r="H11" s="243"/>
      <c r="I11" s="242"/>
      <c r="J11" s="242"/>
      <c r="K11" s="140"/>
      <c r="L11" s="140"/>
      <c r="M11" s="142"/>
      <c r="N11" s="246"/>
      <c r="O11" s="140"/>
      <c r="P11" s="307"/>
      <c r="Q11" s="309"/>
      <c r="R11" s="310"/>
      <c r="S11" s="242"/>
      <c r="T11" s="245"/>
      <c r="U11" s="246"/>
      <c r="V11" s="250"/>
      <c r="W11" s="247"/>
      <c r="X11" s="247"/>
      <c r="Y11" s="247"/>
      <c r="Z11" s="247"/>
      <c r="AA11" s="247"/>
      <c r="AF11" s="239">
        <f>AD11/9*12</f>
        <v>0</v>
      </c>
    </row>
    <row r="12" spans="1:32" ht="15">
      <c r="A12" s="242">
        <v>10949</v>
      </c>
      <c r="B12" s="242"/>
      <c r="C12" s="242"/>
      <c r="D12" s="242">
        <v>10949</v>
      </c>
      <c r="E12" s="242">
        <v>10</v>
      </c>
      <c r="F12" s="242"/>
      <c r="G12" s="243"/>
      <c r="H12" s="243"/>
      <c r="I12" s="242"/>
      <c r="J12" s="242"/>
      <c r="K12" s="242"/>
      <c r="L12" s="242"/>
      <c r="M12" s="140"/>
      <c r="N12" s="242"/>
      <c r="O12" s="140"/>
      <c r="P12" s="311"/>
      <c r="Q12" s="309"/>
      <c r="R12" s="310"/>
      <c r="S12" s="242"/>
      <c r="T12" s="245"/>
      <c r="U12" s="242"/>
      <c r="V12" s="250"/>
      <c r="W12" s="312"/>
      <c r="X12" s="247"/>
      <c r="Y12" s="247"/>
      <c r="Z12" s="247"/>
      <c r="AA12" s="247"/>
      <c r="AF12" s="239">
        <f>AD12/9*12</f>
        <v>0</v>
      </c>
    </row>
    <row r="13" spans="16:27" ht="15">
      <c r="P13" s="272" t="s">
        <v>1392</v>
      </c>
      <c r="R13" s="317">
        <f>SUM(R3:R8)</f>
        <v>16880</v>
      </c>
      <c r="S13" s="318"/>
      <c r="T13" s="318">
        <f aca="true" t="shared" si="8" ref="T13:Z13">SUM(T3:T8)</f>
        <v>0</v>
      </c>
      <c r="U13" s="318"/>
      <c r="V13" s="318">
        <f t="shared" si="8"/>
        <v>8880</v>
      </c>
      <c r="W13" s="318"/>
      <c r="X13" s="318">
        <f t="shared" si="8"/>
        <v>4000</v>
      </c>
      <c r="Y13" s="318"/>
      <c r="Z13" s="318">
        <f t="shared" si="8"/>
        <v>4000</v>
      </c>
      <c r="AA13" s="247"/>
    </row>
    <row r="14" ht="15"/>
    <row r="15" ht="15"/>
    <row r="16" ht="15"/>
    <row r="19" spans="9:26" ht="21">
      <c r="I19" s="231"/>
      <c r="J19" s="125" t="s">
        <v>1577</v>
      </c>
      <c r="K19" s="231"/>
      <c r="L19" s="231"/>
      <c r="M19" s="231"/>
      <c r="N19" s="125"/>
      <c r="O19" s="125" t="s">
        <v>1393</v>
      </c>
      <c r="P19" s="125"/>
      <c r="Q19" s="231"/>
      <c r="R19" s="232"/>
      <c r="S19" s="128" t="s">
        <v>1394</v>
      </c>
      <c r="T19" s="128"/>
      <c r="U19" s="231"/>
      <c r="V19" s="231"/>
      <c r="W19" s="128"/>
      <c r="X19" s="128" t="s">
        <v>1451</v>
      </c>
      <c r="Y19" s="128"/>
      <c r="Z19" s="125"/>
    </row>
    <row r="20" spans="9:26" ht="21">
      <c r="I20" s="231"/>
      <c r="J20" s="125" t="s">
        <v>1578</v>
      </c>
      <c r="K20" s="231"/>
      <c r="L20" s="231"/>
      <c r="M20" s="231"/>
      <c r="N20" s="125"/>
      <c r="O20" s="125" t="s">
        <v>1395</v>
      </c>
      <c r="P20" s="125"/>
      <c r="Q20" s="231"/>
      <c r="R20" s="232"/>
      <c r="S20" s="128" t="s">
        <v>1396</v>
      </c>
      <c r="T20" s="128"/>
      <c r="U20" s="231"/>
      <c r="V20" s="231"/>
      <c r="W20" s="128"/>
      <c r="X20" s="128" t="s">
        <v>1397</v>
      </c>
      <c r="Y20" s="128"/>
      <c r="Z20" s="125"/>
    </row>
    <row r="21" spans="9:26" ht="21">
      <c r="I21" s="231"/>
      <c r="J21" s="125" t="s">
        <v>1580</v>
      </c>
      <c r="K21" s="231"/>
      <c r="L21" s="231"/>
      <c r="M21" s="231"/>
      <c r="N21" s="125"/>
      <c r="O21" s="125" t="s">
        <v>1581</v>
      </c>
      <c r="P21" s="125"/>
      <c r="Q21" s="231"/>
      <c r="R21" s="232"/>
      <c r="S21" s="128" t="s">
        <v>1398</v>
      </c>
      <c r="T21" s="128"/>
      <c r="U21" s="231"/>
      <c r="V21" s="231"/>
      <c r="W21" s="128"/>
      <c r="X21" s="128" t="s">
        <v>1399</v>
      </c>
      <c r="Y21" s="128"/>
      <c r="Z21" s="125"/>
    </row>
    <row r="27" spans="21:22" ht="15">
      <c r="U27" s="314"/>
      <c r="V27" s="315"/>
    </row>
    <row r="29" ht="15">
      <c r="U29" s="316"/>
    </row>
    <row r="30" ht="15">
      <c r="U30" s="316"/>
    </row>
  </sheetData>
  <sheetProtection/>
  <printOptions/>
  <pageMargins left="0.5511811023622047" right="0.1968503937007874" top="0.7874015748031497" bottom="0.7874015748031497" header="0.31496062992125984" footer="0.31496062992125984"/>
  <pageSetup horizontalDpi="300" verticalDpi="300" orientation="landscape" paperSize="5" r:id="rId3"/>
  <headerFooter alignWithMargins="0">
    <oddHeader>&amp;C&amp;"Cordia New,ตัวหนา"&amp;18แผนจัดซื้อวัสดุวิทยาศาสตร์  กลุ่มงานเภสัชกรรมและคุ้มครองผู้บริโภค    โรงพยาบาลน้ำยืน  ประจำปีงบประมาณ 2565</oddHeader>
    <oddFooter>&amp;C&amp;A&amp;Rหน้าที่ &amp;ห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Layout" workbookViewId="0" topLeftCell="D1">
      <selection activeCell="U10" sqref="U10"/>
    </sheetView>
  </sheetViews>
  <sheetFormatPr defaultColWidth="9.140625" defaultRowHeight="21.75"/>
  <cols>
    <col min="1" max="1" width="9.140625" style="149" hidden="1" customWidth="1"/>
    <col min="2" max="2" width="5.140625" style="149" customWidth="1"/>
    <col min="3" max="3" width="12.7109375" style="149" hidden="1" customWidth="1"/>
    <col min="4" max="4" width="30.8515625" style="149" customWidth="1"/>
    <col min="5" max="5" width="9.00390625" style="149" hidden="1" customWidth="1"/>
    <col min="6" max="6" width="7.421875" style="182" customWidth="1"/>
    <col min="7" max="7" width="9.140625" style="182" customWidth="1"/>
    <col min="8" max="8" width="5.8515625" style="149" customWidth="1"/>
    <col min="9" max="9" width="6.421875" style="149" customWidth="1"/>
    <col min="10" max="10" width="6.7109375" style="149" customWidth="1"/>
    <col min="11" max="11" width="9.00390625" style="149" customWidth="1"/>
    <col min="12" max="12" width="6.8515625" style="149" customWidth="1"/>
    <col min="13" max="13" width="9.140625" style="149" customWidth="1"/>
    <col min="14" max="14" width="8.421875" style="330" customWidth="1"/>
    <col min="15" max="15" width="11.140625" style="330" customWidth="1"/>
    <col min="16" max="16" width="6.57421875" style="149" customWidth="1"/>
    <col min="17" max="17" width="8.8515625" style="149" customWidth="1"/>
    <col min="18" max="18" width="6.28125" style="149" customWidth="1"/>
    <col min="19" max="19" width="8.28125" style="149" customWidth="1"/>
    <col min="20" max="20" width="6.57421875" style="182" customWidth="1"/>
    <col min="21" max="21" width="7.8515625" style="149" customWidth="1"/>
    <col min="22" max="22" width="6.57421875" style="182" customWidth="1"/>
    <col min="23" max="23" width="9.00390625" style="182" customWidth="1"/>
    <col min="24" max="24" width="6.8515625" style="149" customWidth="1"/>
    <col min="25" max="25" width="6.421875" style="149" customWidth="1"/>
    <col min="26" max="26" width="7.00390625" style="149" customWidth="1"/>
    <col min="27" max="27" width="7.28125" style="149" customWidth="1"/>
    <col min="28" max="30" width="8.8515625" style="149" customWidth="1"/>
    <col min="31" max="31" width="15.00390625" style="149" customWidth="1"/>
    <col min="32" max="32" width="9.140625" style="149" customWidth="1"/>
    <col min="33" max="33" width="10.421875" style="150" customWidth="1"/>
    <col min="34" max="16384" width="8.8515625" style="149" customWidth="1"/>
  </cols>
  <sheetData>
    <row r="1" spans="1:33" ht="15">
      <c r="A1" s="130" t="s">
        <v>1199</v>
      </c>
      <c r="B1" s="237" t="s">
        <v>2</v>
      </c>
      <c r="C1" s="134" t="s">
        <v>1217</v>
      </c>
      <c r="D1" s="236" t="s">
        <v>1218</v>
      </c>
      <c r="E1" s="236" t="s">
        <v>1202</v>
      </c>
      <c r="F1" s="237" t="s">
        <v>1579</v>
      </c>
      <c r="G1" s="237" t="s">
        <v>1203</v>
      </c>
      <c r="H1" s="273"/>
      <c r="I1" s="274" t="s">
        <v>1205</v>
      </c>
      <c r="J1" s="235"/>
      <c r="K1" s="236" t="s">
        <v>0</v>
      </c>
      <c r="L1" s="236" t="s">
        <v>1214</v>
      </c>
      <c r="M1" s="236" t="s">
        <v>0</v>
      </c>
      <c r="N1" s="319" t="s">
        <v>1</v>
      </c>
      <c r="O1" s="320" t="s">
        <v>1206</v>
      </c>
      <c r="P1" s="255" t="s">
        <v>1210</v>
      </c>
      <c r="Q1" s="235"/>
      <c r="R1" s="255" t="s">
        <v>1209</v>
      </c>
      <c r="S1" s="321"/>
      <c r="T1" s="255" t="s">
        <v>1212</v>
      </c>
      <c r="U1" s="235"/>
      <c r="V1" s="255" t="s">
        <v>1211</v>
      </c>
      <c r="W1" s="256"/>
      <c r="X1" s="203" t="s">
        <v>608</v>
      </c>
      <c r="Y1" s="204"/>
      <c r="Z1" s="149" t="s">
        <v>1388</v>
      </c>
      <c r="AA1" s="149" t="s">
        <v>1318</v>
      </c>
      <c r="AB1" s="149" t="s">
        <v>1297</v>
      </c>
      <c r="AC1" s="149" t="s">
        <v>6</v>
      </c>
      <c r="AD1" s="149" t="s">
        <v>1</v>
      </c>
      <c r="AE1" s="149" t="s">
        <v>1303</v>
      </c>
      <c r="AF1" s="149" t="s">
        <v>4</v>
      </c>
      <c r="AG1" s="150" t="s">
        <v>1304</v>
      </c>
    </row>
    <row r="2" spans="1:29" ht="15">
      <c r="A2" s="252"/>
      <c r="B2" s="252"/>
      <c r="C2" s="252"/>
      <c r="D2" s="252"/>
      <c r="E2" s="252"/>
      <c r="F2" s="241" t="s">
        <v>1204</v>
      </c>
      <c r="G2" s="277" t="s">
        <v>1204</v>
      </c>
      <c r="H2" s="136">
        <v>2562</v>
      </c>
      <c r="I2" s="136">
        <v>2563</v>
      </c>
      <c r="J2" s="136">
        <v>2564</v>
      </c>
      <c r="K2" s="136" t="s">
        <v>1537</v>
      </c>
      <c r="L2" s="136" t="s">
        <v>4</v>
      </c>
      <c r="M2" s="136" t="s">
        <v>1538</v>
      </c>
      <c r="N2" s="322" t="s">
        <v>3</v>
      </c>
      <c r="O2" s="323" t="s">
        <v>1207</v>
      </c>
      <c r="P2" s="258" t="s">
        <v>5</v>
      </c>
      <c r="Q2" s="241" t="s">
        <v>1208</v>
      </c>
      <c r="R2" s="241" t="s">
        <v>7</v>
      </c>
      <c r="S2" s="324" t="s">
        <v>1208</v>
      </c>
      <c r="T2" s="277" t="s">
        <v>5</v>
      </c>
      <c r="U2" s="277" t="s">
        <v>1208</v>
      </c>
      <c r="V2" s="277" t="s">
        <v>7</v>
      </c>
      <c r="W2" s="280" t="s">
        <v>1208</v>
      </c>
      <c r="X2" s="276"/>
      <c r="Y2" s="197"/>
      <c r="AB2" s="149" t="s">
        <v>1494</v>
      </c>
      <c r="AC2" s="149" t="s">
        <v>1207</v>
      </c>
    </row>
    <row r="3" spans="1:31" ht="15">
      <c r="A3" s="221">
        <v>10949</v>
      </c>
      <c r="B3" s="221">
        <v>1</v>
      </c>
      <c r="C3" s="221"/>
      <c r="D3" s="187" t="s">
        <v>1513</v>
      </c>
      <c r="E3" s="187"/>
      <c r="F3" s="140">
        <v>1</v>
      </c>
      <c r="G3" s="140" t="s">
        <v>407</v>
      </c>
      <c r="H3" s="142">
        <v>2</v>
      </c>
      <c r="I3" s="143">
        <v>0</v>
      </c>
      <c r="J3" s="143">
        <f>AE3</f>
        <v>0</v>
      </c>
      <c r="K3" s="142">
        <v>2</v>
      </c>
      <c r="L3" s="143">
        <v>4</v>
      </c>
      <c r="M3" s="142">
        <v>0</v>
      </c>
      <c r="N3" s="163">
        <v>2500</v>
      </c>
      <c r="O3" s="159">
        <f aca="true" t="shared" si="0" ref="O3:O56">N3*M3</f>
        <v>0</v>
      </c>
      <c r="P3" s="140">
        <v>0</v>
      </c>
      <c r="Q3" s="140">
        <f aca="true" t="shared" si="1" ref="Q3:Q22">P3*N3</f>
        <v>0</v>
      </c>
      <c r="R3" s="142">
        <v>0</v>
      </c>
      <c r="S3" s="151">
        <f aca="true" t="shared" si="2" ref="S3:S22">R3*N3</f>
        <v>0</v>
      </c>
      <c r="T3" s="140">
        <v>0</v>
      </c>
      <c r="U3" s="146">
        <f aca="true" t="shared" si="3" ref="U3:U22">T3*N3</f>
        <v>0</v>
      </c>
      <c r="V3" s="140">
        <v>0</v>
      </c>
      <c r="W3" s="140">
        <f aca="true" t="shared" si="4" ref="W3:W22">V3*N3</f>
        <v>0</v>
      </c>
      <c r="X3" s="146"/>
      <c r="Y3" s="155">
        <f aca="true" t="shared" si="5" ref="Y3:Y22">M3-Z3</f>
        <v>0</v>
      </c>
      <c r="Z3" s="206">
        <f aca="true" t="shared" si="6" ref="Z3:Z22">P3+R3+T3+V3</f>
        <v>0</v>
      </c>
      <c r="AA3" s="149">
        <f aca="true" t="shared" si="7" ref="AA3:AA22">M3/4</f>
        <v>0</v>
      </c>
      <c r="AD3" s="149" t="e">
        <f>AC3/AB3</f>
        <v>#DIV/0!</v>
      </c>
      <c r="AE3" s="149">
        <f aca="true" t="shared" si="8" ref="AE3:AE56">AB3/9*12</f>
        <v>0</v>
      </c>
    </row>
    <row r="4" spans="1:31" ht="15">
      <c r="A4" s="221">
        <v>10949</v>
      </c>
      <c r="B4" s="221">
        <v>2</v>
      </c>
      <c r="C4" s="221"/>
      <c r="D4" s="187" t="s">
        <v>1514</v>
      </c>
      <c r="E4" s="187"/>
      <c r="F4" s="140">
        <v>1</v>
      </c>
      <c r="G4" s="140" t="s">
        <v>407</v>
      </c>
      <c r="H4" s="142">
        <v>0</v>
      </c>
      <c r="I4" s="143">
        <v>4</v>
      </c>
      <c r="J4" s="143">
        <f aca="true" t="shared" si="9" ref="J4:J56">AE4</f>
        <v>0</v>
      </c>
      <c r="K4" s="142">
        <v>2</v>
      </c>
      <c r="L4" s="143">
        <v>3</v>
      </c>
      <c r="M4" s="142">
        <v>0</v>
      </c>
      <c r="N4" s="163">
        <v>1800</v>
      </c>
      <c r="O4" s="159">
        <f t="shared" si="0"/>
        <v>0</v>
      </c>
      <c r="P4" s="140">
        <v>0</v>
      </c>
      <c r="Q4" s="140">
        <f t="shared" si="1"/>
        <v>0</v>
      </c>
      <c r="R4" s="142">
        <v>0</v>
      </c>
      <c r="S4" s="151">
        <f t="shared" si="2"/>
        <v>0</v>
      </c>
      <c r="T4" s="140">
        <v>0</v>
      </c>
      <c r="U4" s="146">
        <f t="shared" si="3"/>
        <v>0</v>
      </c>
      <c r="V4" s="140">
        <v>0</v>
      </c>
      <c r="W4" s="140">
        <f t="shared" si="4"/>
        <v>0</v>
      </c>
      <c r="X4" s="146"/>
      <c r="Y4" s="155">
        <f aca="true" t="shared" si="10" ref="Y4:Y10">M4-Z4</f>
        <v>0</v>
      </c>
      <c r="Z4" s="206">
        <f aca="true" t="shared" si="11" ref="Z4:Z10">P4+R4+T4+V4</f>
        <v>0</v>
      </c>
      <c r="AA4" s="149">
        <f aca="true" t="shared" si="12" ref="AA4:AA10">M4/4</f>
        <v>0</v>
      </c>
      <c r="AD4" s="149" t="e">
        <f aca="true" t="shared" si="13" ref="AD4:AD56">AC4/AB4</f>
        <v>#DIV/0!</v>
      </c>
      <c r="AE4" s="149">
        <f t="shared" si="8"/>
        <v>0</v>
      </c>
    </row>
    <row r="5" spans="1:31" ht="15">
      <c r="A5" s="225">
        <v>10949</v>
      </c>
      <c r="B5" s="221">
        <v>3</v>
      </c>
      <c r="C5" s="225"/>
      <c r="D5" s="146" t="s">
        <v>516</v>
      </c>
      <c r="E5" s="146"/>
      <c r="F5" s="140">
        <v>1</v>
      </c>
      <c r="G5" s="140" t="s">
        <v>407</v>
      </c>
      <c r="H5" s="142">
        <v>0</v>
      </c>
      <c r="I5" s="143">
        <v>2</v>
      </c>
      <c r="J5" s="143">
        <f t="shared" si="9"/>
        <v>0</v>
      </c>
      <c r="K5" s="142">
        <v>2</v>
      </c>
      <c r="L5" s="143">
        <v>25</v>
      </c>
      <c r="M5" s="142">
        <v>0</v>
      </c>
      <c r="N5" s="163">
        <v>250</v>
      </c>
      <c r="O5" s="159">
        <f t="shared" si="0"/>
        <v>0</v>
      </c>
      <c r="P5" s="140">
        <v>0</v>
      </c>
      <c r="Q5" s="140">
        <f t="shared" si="1"/>
        <v>0</v>
      </c>
      <c r="R5" s="140">
        <v>0</v>
      </c>
      <c r="S5" s="151">
        <f t="shared" si="2"/>
        <v>0</v>
      </c>
      <c r="T5" s="140">
        <v>0</v>
      </c>
      <c r="U5" s="146">
        <f t="shared" si="3"/>
        <v>0</v>
      </c>
      <c r="V5" s="140">
        <v>0</v>
      </c>
      <c r="W5" s="140">
        <f t="shared" si="4"/>
        <v>0</v>
      </c>
      <c r="X5" s="146"/>
      <c r="Y5" s="155">
        <f t="shared" si="10"/>
        <v>0</v>
      </c>
      <c r="Z5" s="206">
        <f t="shared" si="11"/>
        <v>0</v>
      </c>
      <c r="AA5" s="149">
        <f t="shared" si="12"/>
        <v>0</v>
      </c>
      <c r="AD5" s="149" t="e">
        <f t="shared" si="13"/>
        <v>#DIV/0!</v>
      </c>
      <c r="AE5" s="149">
        <f t="shared" si="8"/>
        <v>0</v>
      </c>
    </row>
    <row r="6" spans="1:31" ht="15">
      <c r="A6" s="225">
        <v>10949</v>
      </c>
      <c r="B6" s="221">
        <v>4</v>
      </c>
      <c r="C6" s="225"/>
      <c r="D6" s="187" t="s">
        <v>1296</v>
      </c>
      <c r="E6" s="146"/>
      <c r="F6" s="140">
        <v>1</v>
      </c>
      <c r="G6" s="140" t="s">
        <v>412</v>
      </c>
      <c r="H6" s="142">
        <v>51</v>
      </c>
      <c r="I6" s="143">
        <v>0</v>
      </c>
      <c r="J6" s="143">
        <f t="shared" si="9"/>
        <v>0</v>
      </c>
      <c r="K6" s="142">
        <v>0</v>
      </c>
      <c r="L6" s="143">
        <v>0</v>
      </c>
      <c r="M6" s="142">
        <v>0</v>
      </c>
      <c r="N6" s="163">
        <v>35</v>
      </c>
      <c r="O6" s="159">
        <f t="shared" si="0"/>
        <v>0</v>
      </c>
      <c r="P6" s="140">
        <v>0</v>
      </c>
      <c r="Q6" s="140">
        <f t="shared" si="1"/>
        <v>0</v>
      </c>
      <c r="R6" s="140">
        <v>0</v>
      </c>
      <c r="S6" s="151">
        <f t="shared" si="2"/>
        <v>0</v>
      </c>
      <c r="T6" s="140">
        <v>0</v>
      </c>
      <c r="U6" s="146">
        <f t="shared" si="3"/>
        <v>0</v>
      </c>
      <c r="V6" s="140">
        <v>0</v>
      </c>
      <c r="W6" s="140">
        <f t="shared" si="4"/>
        <v>0</v>
      </c>
      <c r="X6" s="146"/>
      <c r="Y6" s="155">
        <f t="shared" si="10"/>
        <v>0</v>
      </c>
      <c r="Z6" s="206">
        <f t="shared" si="11"/>
        <v>0</v>
      </c>
      <c r="AA6" s="149">
        <f t="shared" si="12"/>
        <v>0</v>
      </c>
      <c r="AD6" s="149" t="e">
        <f t="shared" si="13"/>
        <v>#DIV/0!</v>
      </c>
      <c r="AE6" s="149">
        <f t="shared" si="8"/>
        <v>0</v>
      </c>
    </row>
    <row r="7" spans="1:31" ht="15">
      <c r="A7" s="221">
        <v>10949</v>
      </c>
      <c r="B7" s="221">
        <v>5</v>
      </c>
      <c r="C7" s="225"/>
      <c r="D7" s="187" t="s">
        <v>439</v>
      </c>
      <c r="E7" s="187"/>
      <c r="F7" s="140">
        <v>1</v>
      </c>
      <c r="G7" s="140" t="s">
        <v>412</v>
      </c>
      <c r="H7" s="142">
        <v>1000</v>
      </c>
      <c r="I7" s="143">
        <v>600</v>
      </c>
      <c r="J7" s="143">
        <f t="shared" si="9"/>
        <v>666.6666666666667</v>
      </c>
      <c r="K7" s="142">
        <v>1000</v>
      </c>
      <c r="L7" s="143">
        <v>200</v>
      </c>
      <c r="M7" s="142">
        <f aca="true" t="shared" si="14" ref="M7:M56">K7-L7</f>
        <v>800</v>
      </c>
      <c r="N7" s="163">
        <v>3.5</v>
      </c>
      <c r="O7" s="159">
        <f t="shared" si="0"/>
        <v>2800</v>
      </c>
      <c r="P7" s="140">
        <v>0</v>
      </c>
      <c r="Q7" s="140">
        <f t="shared" si="1"/>
        <v>0</v>
      </c>
      <c r="R7" s="142">
        <v>400</v>
      </c>
      <c r="S7" s="151">
        <f t="shared" si="2"/>
        <v>1400</v>
      </c>
      <c r="T7" s="140">
        <v>0</v>
      </c>
      <c r="U7" s="146">
        <f t="shared" si="3"/>
        <v>0</v>
      </c>
      <c r="V7" s="140">
        <v>400</v>
      </c>
      <c r="W7" s="140">
        <f t="shared" si="4"/>
        <v>1400</v>
      </c>
      <c r="X7" s="146"/>
      <c r="Y7" s="155">
        <f t="shared" si="10"/>
        <v>0</v>
      </c>
      <c r="Z7" s="206">
        <f t="shared" si="11"/>
        <v>800</v>
      </c>
      <c r="AA7" s="149">
        <f t="shared" si="12"/>
        <v>200</v>
      </c>
      <c r="AB7" s="149">
        <v>500</v>
      </c>
      <c r="AC7" s="149">
        <v>1750</v>
      </c>
      <c r="AD7" s="149">
        <f t="shared" si="13"/>
        <v>3.5</v>
      </c>
      <c r="AE7" s="149">
        <f t="shared" si="8"/>
        <v>666.6666666666667</v>
      </c>
    </row>
    <row r="8" spans="1:31" ht="15">
      <c r="A8" s="221">
        <v>10949</v>
      </c>
      <c r="B8" s="221">
        <v>6</v>
      </c>
      <c r="C8" s="221"/>
      <c r="D8" s="187" t="s">
        <v>437</v>
      </c>
      <c r="E8" s="187"/>
      <c r="F8" s="188">
        <v>1</v>
      </c>
      <c r="G8" s="188" t="s">
        <v>412</v>
      </c>
      <c r="H8" s="142">
        <v>3900</v>
      </c>
      <c r="I8" s="143">
        <v>4130</v>
      </c>
      <c r="J8" s="143">
        <f t="shared" si="9"/>
        <v>2668</v>
      </c>
      <c r="K8" s="142">
        <v>3600</v>
      </c>
      <c r="L8" s="143">
        <v>600</v>
      </c>
      <c r="M8" s="142">
        <f t="shared" si="14"/>
        <v>3000</v>
      </c>
      <c r="N8" s="163">
        <v>1.4</v>
      </c>
      <c r="O8" s="159">
        <f t="shared" si="0"/>
        <v>4200</v>
      </c>
      <c r="P8" s="140">
        <v>1000</v>
      </c>
      <c r="Q8" s="140">
        <f t="shared" si="1"/>
        <v>1400</v>
      </c>
      <c r="R8" s="142">
        <v>0</v>
      </c>
      <c r="S8" s="151">
        <f t="shared" si="2"/>
        <v>0</v>
      </c>
      <c r="T8" s="140">
        <v>1000</v>
      </c>
      <c r="U8" s="146">
        <f t="shared" si="3"/>
        <v>1400</v>
      </c>
      <c r="V8" s="140">
        <v>1000</v>
      </c>
      <c r="W8" s="140">
        <f t="shared" si="4"/>
        <v>1400</v>
      </c>
      <c r="X8" s="146"/>
      <c r="Y8" s="155">
        <f t="shared" si="10"/>
        <v>0</v>
      </c>
      <c r="Z8" s="206">
        <f t="shared" si="11"/>
        <v>3000</v>
      </c>
      <c r="AA8" s="149">
        <f t="shared" si="12"/>
        <v>750</v>
      </c>
      <c r="AB8" s="149">
        <v>2001</v>
      </c>
      <c r="AC8" s="149">
        <v>4200</v>
      </c>
      <c r="AD8" s="149">
        <f t="shared" si="13"/>
        <v>2.098950524737631</v>
      </c>
      <c r="AE8" s="149">
        <f t="shared" si="8"/>
        <v>2668</v>
      </c>
    </row>
    <row r="9" spans="1:31" ht="15">
      <c r="A9" s="221">
        <v>10949</v>
      </c>
      <c r="B9" s="221">
        <v>7</v>
      </c>
      <c r="C9" s="225"/>
      <c r="D9" s="187" t="s">
        <v>438</v>
      </c>
      <c r="E9" s="187"/>
      <c r="F9" s="188">
        <v>1</v>
      </c>
      <c r="G9" s="188" t="s">
        <v>412</v>
      </c>
      <c r="H9" s="142">
        <v>1560</v>
      </c>
      <c r="I9" s="143">
        <v>2230</v>
      </c>
      <c r="J9" s="143">
        <f t="shared" si="9"/>
        <v>1600</v>
      </c>
      <c r="K9" s="142">
        <v>1800</v>
      </c>
      <c r="L9" s="143">
        <v>200</v>
      </c>
      <c r="M9" s="142">
        <f t="shared" si="14"/>
        <v>1600</v>
      </c>
      <c r="N9" s="163">
        <v>1.7305</v>
      </c>
      <c r="O9" s="159">
        <f t="shared" si="0"/>
        <v>2768.7999999999997</v>
      </c>
      <c r="P9" s="140">
        <v>0</v>
      </c>
      <c r="Q9" s="140">
        <f t="shared" si="1"/>
        <v>0</v>
      </c>
      <c r="R9" s="142">
        <v>800</v>
      </c>
      <c r="S9" s="151">
        <f t="shared" si="2"/>
        <v>1384.3999999999999</v>
      </c>
      <c r="T9" s="140">
        <v>0</v>
      </c>
      <c r="U9" s="146">
        <f t="shared" si="3"/>
        <v>0</v>
      </c>
      <c r="V9" s="140">
        <v>800</v>
      </c>
      <c r="W9" s="140">
        <f t="shared" si="4"/>
        <v>1384.3999999999999</v>
      </c>
      <c r="X9" s="146"/>
      <c r="Y9" s="155">
        <f t="shared" si="10"/>
        <v>0</v>
      </c>
      <c r="Z9" s="206">
        <f t="shared" si="11"/>
        <v>1600</v>
      </c>
      <c r="AA9" s="149">
        <f t="shared" si="12"/>
        <v>400</v>
      </c>
      <c r="AB9" s="149">
        <v>1200</v>
      </c>
      <c r="AC9" s="149">
        <v>1920</v>
      </c>
      <c r="AD9" s="149">
        <f t="shared" si="13"/>
        <v>1.6</v>
      </c>
      <c r="AE9" s="149">
        <f t="shared" si="8"/>
        <v>1600</v>
      </c>
    </row>
    <row r="10" spans="1:31" ht="15">
      <c r="A10" s="221">
        <v>10949</v>
      </c>
      <c r="B10" s="221">
        <v>8</v>
      </c>
      <c r="C10" s="225"/>
      <c r="D10" s="187" t="s">
        <v>1515</v>
      </c>
      <c r="E10" s="187"/>
      <c r="F10" s="188">
        <v>1</v>
      </c>
      <c r="G10" s="188" t="s">
        <v>412</v>
      </c>
      <c r="H10" s="142">
        <v>0</v>
      </c>
      <c r="I10" s="143">
        <v>100</v>
      </c>
      <c r="J10" s="143">
        <f t="shared" si="9"/>
        <v>0</v>
      </c>
      <c r="K10" s="142">
        <v>100</v>
      </c>
      <c r="L10" s="143">
        <v>0</v>
      </c>
      <c r="M10" s="142">
        <f t="shared" si="14"/>
        <v>100</v>
      </c>
      <c r="N10" s="163">
        <v>34</v>
      </c>
      <c r="O10" s="159">
        <f t="shared" si="0"/>
        <v>3400</v>
      </c>
      <c r="P10" s="140">
        <v>0</v>
      </c>
      <c r="Q10" s="140">
        <f t="shared" si="1"/>
        <v>0</v>
      </c>
      <c r="R10" s="142">
        <v>0</v>
      </c>
      <c r="S10" s="151">
        <f t="shared" si="2"/>
        <v>0</v>
      </c>
      <c r="T10" s="140">
        <v>100</v>
      </c>
      <c r="U10" s="146">
        <f t="shared" si="3"/>
        <v>3400</v>
      </c>
      <c r="V10" s="140">
        <v>0</v>
      </c>
      <c r="W10" s="140">
        <f t="shared" si="4"/>
        <v>0</v>
      </c>
      <c r="X10" s="146"/>
      <c r="Y10" s="155">
        <f t="shared" si="10"/>
        <v>0</v>
      </c>
      <c r="Z10" s="206">
        <f t="shared" si="11"/>
        <v>100</v>
      </c>
      <c r="AA10" s="149">
        <f t="shared" si="12"/>
        <v>25</v>
      </c>
      <c r="AD10" s="149" t="e">
        <f t="shared" si="13"/>
        <v>#DIV/0!</v>
      </c>
      <c r="AE10" s="149">
        <f t="shared" si="8"/>
        <v>0</v>
      </c>
    </row>
    <row r="11" spans="1:31" ht="15">
      <c r="A11" s="221">
        <v>10949</v>
      </c>
      <c r="B11" s="221">
        <v>9</v>
      </c>
      <c r="C11" s="225"/>
      <c r="D11" s="146" t="s">
        <v>553</v>
      </c>
      <c r="E11" s="146"/>
      <c r="F11" s="188">
        <v>1</v>
      </c>
      <c r="G11" s="188" t="s">
        <v>407</v>
      </c>
      <c r="H11" s="142">
        <v>1</v>
      </c>
      <c r="I11" s="143">
        <v>0</v>
      </c>
      <c r="J11" s="143">
        <f t="shared" si="9"/>
        <v>0</v>
      </c>
      <c r="K11" s="142">
        <v>0</v>
      </c>
      <c r="L11" s="143">
        <v>1</v>
      </c>
      <c r="M11" s="142">
        <v>0</v>
      </c>
      <c r="N11" s="160">
        <v>7800</v>
      </c>
      <c r="O11" s="159">
        <f t="shared" si="0"/>
        <v>0</v>
      </c>
      <c r="P11" s="140">
        <v>0</v>
      </c>
      <c r="Q11" s="140">
        <f t="shared" si="1"/>
        <v>0</v>
      </c>
      <c r="R11" s="142">
        <v>0</v>
      </c>
      <c r="S11" s="151">
        <f t="shared" si="2"/>
        <v>0</v>
      </c>
      <c r="T11" s="140">
        <v>0</v>
      </c>
      <c r="U11" s="146">
        <f t="shared" si="3"/>
        <v>0</v>
      </c>
      <c r="V11" s="140">
        <v>0</v>
      </c>
      <c r="W11" s="140">
        <f t="shared" si="4"/>
        <v>0</v>
      </c>
      <c r="X11" s="146"/>
      <c r="Y11" s="155">
        <f t="shared" si="5"/>
        <v>0</v>
      </c>
      <c r="Z11" s="206">
        <f t="shared" si="6"/>
        <v>0</v>
      </c>
      <c r="AA11" s="149">
        <f t="shared" si="7"/>
        <v>0</v>
      </c>
      <c r="AD11" s="149" t="e">
        <f t="shared" si="13"/>
        <v>#DIV/0!</v>
      </c>
      <c r="AE11" s="149">
        <f t="shared" si="8"/>
        <v>0</v>
      </c>
    </row>
    <row r="12" spans="1:31" ht="15">
      <c r="A12" s="221">
        <v>10949</v>
      </c>
      <c r="B12" s="221">
        <v>10</v>
      </c>
      <c r="C12" s="221"/>
      <c r="D12" s="187" t="s">
        <v>483</v>
      </c>
      <c r="E12" s="187"/>
      <c r="F12" s="188">
        <v>1</v>
      </c>
      <c r="G12" s="188" t="s">
        <v>440</v>
      </c>
      <c r="H12" s="142">
        <v>57</v>
      </c>
      <c r="I12" s="143">
        <v>91</v>
      </c>
      <c r="J12" s="143">
        <f t="shared" si="9"/>
        <v>133.33333333333331</v>
      </c>
      <c r="K12" s="142">
        <v>130</v>
      </c>
      <c r="L12" s="143">
        <v>30</v>
      </c>
      <c r="M12" s="142">
        <f t="shared" si="14"/>
        <v>100</v>
      </c>
      <c r="N12" s="182">
        <v>148</v>
      </c>
      <c r="O12" s="159">
        <f t="shared" si="0"/>
        <v>14800</v>
      </c>
      <c r="P12" s="140">
        <v>0</v>
      </c>
      <c r="Q12" s="140">
        <f t="shared" si="1"/>
        <v>0</v>
      </c>
      <c r="R12" s="142">
        <v>0</v>
      </c>
      <c r="S12" s="151">
        <f t="shared" si="2"/>
        <v>0</v>
      </c>
      <c r="T12" s="140">
        <v>100</v>
      </c>
      <c r="U12" s="146">
        <f t="shared" si="3"/>
        <v>14800</v>
      </c>
      <c r="V12" s="140">
        <v>0</v>
      </c>
      <c r="W12" s="140">
        <f t="shared" si="4"/>
        <v>0</v>
      </c>
      <c r="X12" s="146"/>
      <c r="Y12" s="155">
        <f t="shared" si="5"/>
        <v>0</v>
      </c>
      <c r="Z12" s="206">
        <f t="shared" si="6"/>
        <v>100</v>
      </c>
      <c r="AA12" s="149">
        <f t="shared" si="7"/>
        <v>25</v>
      </c>
      <c r="AB12" s="149">
        <v>100</v>
      </c>
      <c r="AC12" s="149">
        <v>14400</v>
      </c>
      <c r="AD12" s="149">
        <f t="shared" si="13"/>
        <v>144</v>
      </c>
      <c r="AE12" s="149">
        <f t="shared" si="8"/>
        <v>133.33333333333331</v>
      </c>
    </row>
    <row r="13" spans="1:31" ht="15">
      <c r="A13" s="221">
        <v>10949</v>
      </c>
      <c r="B13" s="221">
        <v>11</v>
      </c>
      <c r="C13" s="225"/>
      <c r="D13" s="187" t="s">
        <v>1471</v>
      </c>
      <c r="E13" s="187"/>
      <c r="F13" s="188">
        <v>1</v>
      </c>
      <c r="G13" s="188" t="s">
        <v>440</v>
      </c>
      <c r="H13" s="142">
        <v>96</v>
      </c>
      <c r="I13" s="143">
        <v>120</v>
      </c>
      <c r="J13" s="143">
        <f t="shared" si="9"/>
        <v>173.33333333333334</v>
      </c>
      <c r="K13" s="142">
        <v>180</v>
      </c>
      <c r="L13" s="143">
        <v>40</v>
      </c>
      <c r="M13" s="142">
        <f t="shared" si="14"/>
        <v>140</v>
      </c>
      <c r="N13" s="163">
        <v>140</v>
      </c>
      <c r="O13" s="159">
        <f t="shared" si="0"/>
        <v>19600</v>
      </c>
      <c r="P13" s="140">
        <v>0</v>
      </c>
      <c r="Q13" s="140">
        <f t="shared" si="1"/>
        <v>0</v>
      </c>
      <c r="R13" s="142">
        <v>70</v>
      </c>
      <c r="S13" s="151">
        <f t="shared" si="2"/>
        <v>9800</v>
      </c>
      <c r="T13" s="140">
        <v>0</v>
      </c>
      <c r="U13" s="146">
        <f t="shared" si="3"/>
        <v>0</v>
      </c>
      <c r="V13" s="140">
        <v>70</v>
      </c>
      <c r="W13" s="140">
        <f t="shared" si="4"/>
        <v>9800</v>
      </c>
      <c r="X13" s="146"/>
      <c r="Y13" s="155">
        <f t="shared" si="5"/>
        <v>0</v>
      </c>
      <c r="Z13" s="206">
        <f t="shared" si="6"/>
        <v>140</v>
      </c>
      <c r="AA13" s="149">
        <f t="shared" si="7"/>
        <v>35</v>
      </c>
      <c r="AB13" s="149">
        <v>130</v>
      </c>
      <c r="AC13" s="149">
        <v>18200</v>
      </c>
      <c r="AD13" s="149">
        <f t="shared" si="13"/>
        <v>140</v>
      </c>
      <c r="AE13" s="149">
        <f t="shared" si="8"/>
        <v>173.33333333333334</v>
      </c>
    </row>
    <row r="14" spans="1:31" ht="15">
      <c r="A14" s="221">
        <v>10949</v>
      </c>
      <c r="B14" s="221">
        <v>12</v>
      </c>
      <c r="C14" s="225"/>
      <c r="D14" s="187" t="s">
        <v>1321</v>
      </c>
      <c r="E14" s="187"/>
      <c r="F14" s="188">
        <v>1</v>
      </c>
      <c r="G14" s="188" t="s">
        <v>440</v>
      </c>
      <c r="H14" s="142">
        <v>1</v>
      </c>
      <c r="I14" s="143">
        <v>25</v>
      </c>
      <c r="J14" s="143">
        <f t="shared" si="9"/>
        <v>26.666666666666668</v>
      </c>
      <c r="K14" s="142">
        <v>30</v>
      </c>
      <c r="L14" s="143">
        <v>10</v>
      </c>
      <c r="M14" s="142">
        <f t="shared" si="14"/>
        <v>20</v>
      </c>
      <c r="N14" s="182">
        <v>160</v>
      </c>
      <c r="O14" s="159">
        <f t="shared" si="0"/>
        <v>3200</v>
      </c>
      <c r="P14" s="140">
        <v>0</v>
      </c>
      <c r="Q14" s="140">
        <f t="shared" si="1"/>
        <v>0</v>
      </c>
      <c r="R14" s="142">
        <v>0</v>
      </c>
      <c r="S14" s="151">
        <f t="shared" si="2"/>
        <v>0</v>
      </c>
      <c r="T14" s="140">
        <v>20</v>
      </c>
      <c r="U14" s="146">
        <f t="shared" si="3"/>
        <v>3200</v>
      </c>
      <c r="V14" s="140">
        <v>0</v>
      </c>
      <c r="W14" s="140">
        <f t="shared" si="4"/>
        <v>0</v>
      </c>
      <c r="X14" s="146"/>
      <c r="Y14" s="155">
        <f t="shared" si="5"/>
        <v>0</v>
      </c>
      <c r="Z14" s="206">
        <f t="shared" si="6"/>
        <v>20</v>
      </c>
      <c r="AA14" s="149">
        <f t="shared" si="7"/>
        <v>5</v>
      </c>
      <c r="AB14" s="149">
        <v>20</v>
      </c>
      <c r="AC14" s="149">
        <v>3200</v>
      </c>
      <c r="AD14" s="149">
        <f t="shared" si="13"/>
        <v>160</v>
      </c>
      <c r="AE14" s="149">
        <f t="shared" si="8"/>
        <v>26.666666666666668</v>
      </c>
    </row>
    <row r="15" spans="1:31" ht="15">
      <c r="A15" s="221">
        <v>10949</v>
      </c>
      <c r="B15" s="221">
        <v>13</v>
      </c>
      <c r="C15" s="221"/>
      <c r="D15" s="187" t="s">
        <v>441</v>
      </c>
      <c r="E15" s="187"/>
      <c r="F15" s="188">
        <v>1</v>
      </c>
      <c r="G15" s="188" t="s">
        <v>440</v>
      </c>
      <c r="H15" s="142">
        <v>25</v>
      </c>
      <c r="I15" s="143">
        <v>39</v>
      </c>
      <c r="J15" s="143">
        <f t="shared" si="9"/>
        <v>26.666666666666668</v>
      </c>
      <c r="K15" s="142">
        <v>30</v>
      </c>
      <c r="L15" s="143">
        <v>10</v>
      </c>
      <c r="M15" s="142">
        <f t="shared" si="14"/>
        <v>20</v>
      </c>
      <c r="N15" s="163">
        <v>140</v>
      </c>
      <c r="O15" s="159">
        <f t="shared" si="0"/>
        <v>2800</v>
      </c>
      <c r="P15" s="142">
        <v>0</v>
      </c>
      <c r="Q15" s="140">
        <f t="shared" si="1"/>
        <v>0</v>
      </c>
      <c r="R15" s="142">
        <v>0</v>
      </c>
      <c r="S15" s="151">
        <f t="shared" si="2"/>
        <v>0</v>
      </c>
      <c r="T15" s="142">
        <v>20</v>
      </c>
      <c r="U15" s="146">
        <f t="shared" si="3"/>
        <v>2800</v>
      </c>
      <c r="V15" s="142">
        <v>0</v>
      </c>
      <c r="W15" s="140">
        <f t="shared" si="4"/>
        <v>0</v>
      </c>
      <c r="X15" s="146"/>
      <c r="Y15" s="155">
        <f t="shared" si="5"/>
        <v>0</v>
      </c>
      <c r="Z15" s="206">
        <f t="shared" si="6"/>
        <v>20</v>
      </c>
      <c r="AA15" s="149">
        <f t="shared" si="7"/>
        <v>5</v>
      </c>
      <c r="AB15" s="149">
        <v>20</v>
      </c>
      <c r="AC15" s="149">
        <v>2800</v>
      </c>
      <c r="AD15" s="149">
        <f t="shared" si="13"/>
        <v>140</v>
      </c>
      <c r="AE15" s="149">
        <f t="shared" si="8"/>
        <v>26.666666666666668</v>
      </c>
    </row>
    <row r="16" spans="1:31" ht="15">
      <c r="A16" s="221">
        <v>10949</v>
      </c>
      <c r="B16" s="221">
        <v>14</v>
      </c>
      <c r="C16" s="225"/>
      <c r="D16" s="187" t="s">
        <v>442</v>
      </c>
      <c r="E16" s="187"/>
      <c r="F16" s="188">
        <v>1</v>
      </c>
      <c r="G16" s="188" t="s">
        <v>440</v>
      </c>
      <c r="H16" s="142">
        <v>37</v>
      </c>
      <c r="I16" s="143">
        <v>0</v>
      </c>
      <c r="J16" s="143">
        <f t="shared" si="9"/>
        <v>0</v>
      </c>
      <c r="K16" s="142">
        <v>10</v>
      </c>
      <c r="L16" s="143">
        <v>16</v>
      </c>
      <c r="M16" s="142">
        <v>0</v>
      </c>
      <c r="N16" s="163">
        <v>135</v>
      </c>
      <c r="O16" s="159">
        <f t="shared" si="0"/>
        <v>0</v>
      </c>
      <c r="P16" s="142">
        <v>0</v>
      </c>
      <c r="Q16" s="140">
        <f t="shared" si="1"/>
        <v>0</v>
      </c>
      <c r="R16" s="142">
        <v>0</v>
      </c>
      <c r="S16" s="151">
        <f t="shared" si="2"/>
        <v>0</v>
      </c>
      <c r="T16" s="142">
        <v>0</v>
      </c>
      <c r="U16" s="146">
        <f t="shared" si="3"/>
        <v>0</v>
      </c>
      <c r="V16" s="142">
        <v>0</v>
      </c>
      <c r="W16" s="140">
        <f t="shared" si="4"/>
        <v>0</v>
      </c>
      <c r="X16" s="146"/>
      <c r="Y16" s="155">
        <f t="shared" si="5"/>
        <v>0</v>
      </c>
      <c r="Z16" s="206">
        <f t="shared" si="6"/>
        <v>0</v>
      </c>
      <c r="AA16" s="149">
        <f t="shared" si="7"/>
        <v>0</v>
      </c>
      <c r="AD16" s="149" t="e">
        <f t="shared" si="13"/>
        <v>#DIV/0!</v>
      </c>
      <c r="AE16" s="149">
        <f t="shared" si="8"/>
        <v>0</v>
      </c>
    </row>
    <row r="17" spans="1:31" ht="15">
      <c r="A17" s="221">
        <v>10949</v>
      </c>
      <c r="B17" s="221">
        <v>15</v>
      </c>
      <c r="C17" s="225"/>
      <c r="D17" s="187" t="s">
        <v>443</v>
      </c>
      <c r="E17" s="187"/>
      <c r="F17" s="188">
        <v>1</v>
      </c>
      <c r="G17" s="188" t="s">
        <v>440</v>
      </c>
      <c r="H17" s="142">
        <v>34</v>
      </c>
      <c r="I17" s="143">
        <v>26</v>
      </c>
      <c r="J17" s="143">
        <f t="shared" si="9"/>
        <v>0</v>
      </c>
      <c r="K17" s="142">
        <v>20</v>
      </c>
      <c r="L17" s="143">
        <v>5</v>
      </c>
      <c r="M17" s="142">
        <f t="shared" si="14"/>
        <v>15</v>
      </c>
      <c r="N17" s="163">
        <v>140</v>
      </c>
      <c r="O17" s="159">
        <f t="shared" si="0"/>
        <v>2100</v>
      </c>
      <c r="P17" s="142">
        <v>0</v>
      </c>
      <c r="Q17" s="140">
        <f t="shared" si="1"/>
        <v>0</v>
      </c>
      <c r="R17" s="142">
        <v>0</v>
      </c>
      <c r="S17" s="151">
        <f t="shared" si="2"/>
        <v>0</v>
      </c>
      <c r="T17" s="142">
        <v>15</v>
      </c>
      <c r="U17" s="146">
        <f t="shared" si="3"/>
        <v>2100</v>
      </c>
      <c r="V17" s="142">
        <v>0</v>
      </c>
      <c r="W17" s="140">
        <f t="shared" si="4"/>
        <v>0</v>
      </c>
      <c r="X17" s="146"/>
      <c r="Y17" s="155">
        <f t="shared" si="5"/>
        <v>0</v>
      </c>
      <c r="Z17" s="206">
        <f t="shared" si="6"/>
        <v>15</v>
      </c>
      <c r="AA17" s="149">
        <f t="shared" si="7"/>
        <v>3.75</v>
      </c>
      <c r="AD17" s="149" t="e">
        <f t="shared" si="13"/>
        <v>#DIV/0!</v>
      </c>
      <c r="AE17" s="149">
        <f t="shared" si="8"/>
        <v>0</v>
      </c>
    </row>
    <row r="18" spans="1:31" ht="15">
      <c r="A18" s="221">
        <v>10949</v>
      </c>
      <c r="B18" s="221">
        <v>16</v>
      </c>
      <c r="C18" s="221"/>
      <c r="D18" s="270" t="s">
        <v>1472</v>
      </c>
      <c r="E18" s="270"/>
      <c r="F18" s="325">
        <v>1</v>
      </c>
      <c r="G18" s="325" t="s">
        <v>440</v>
      </c>
      <c r="H18" s="142">
        <v>469</v>
      </c>
      <c r="I18" s="143">
        <v>376</v>
      </c>
      <c r="J18" s="143">
        <f t="shared" si="9"/>
        <v>320</v>
      </c>
      <c r="K18" s="142">
        <v>400</v>
      </c>
      <c r="L18" s="143">
        <v>100</v>
      </c>
      <c r="M18" s="142">
        <f t="shared" si="14"/>
        <v>300</v>
      </c>
      <c r="N18" s="160">
        <v>130</v>
      </c>
      <c r="O18" s="159">
        <f t="shared" si="0"/>
        <v>39000</v>
      </c>
      <c r="P18" s="140">
        <v>0</v>
      </c>
      <c r="Q18" s="140">
        <f t="shared" si="1"/>
        <v>0</v>
      </c>
      <c r="R18" s="142">
        <v>100</v>
      </c>
      <c r="S18" s="151">
        <f t="shared" si="2"/>
        <v>13000</v>
      </c>
      <c r="T18" s="140">
        <v>100</v>
      </c>
      <c r="U18" s="146">
        <f t="shared" si="3"/>
        <v>13000</v>
      </c>
      <c r="V18" s="140">
        <v>100</v>
      </c>
      <c r="W18" s="140">
        <f t="shared" si="4"/>
        <v>13000</v>
      </c>
      <c r="X18" s="146"/>
      <c r="Y18" s="155">
        <f t="shared" si="5"/>
        <v>0</v>
      </c>
      <c r="Z18" s="206">
        <f t="shared" si="6"/>
        <v>300</v>
      </c>
      <c r="AA18" s="149">
        <f t="shared" si="7"/>
        <v>75</v>
      </c>
      <c r="AB18" s="149">
        <v>240</v>
      </c>
      <c r="AC18" s="149">
        <v>31200</v>
      </c>
      <c r="AD18" s="149">
        <f t="shared" si="13"/>
        <v>130</v>
      </c>
      <c r="AE18" s="149">
        <f t="shared" si="8"/>
        <v>320</v>
      </c>
    </row>
    <row r="19" spans="1:31" ht="15">
      <c r="A19" s="221">
        <v>10949</v>
      </c>
      <c r="B19" s="221">
        <v>17</v>
      </c>
      <c r="C19" s="225"/>
      <c r="D19" s="187" t="s">
        <v>517</v>
      </c>
      <c r="E19" s="187"/>
      <c r="F19" s="188">
        <v>1</v>
      </c>
      <c r="G19" s="188" t="s">
        <v>440</v>
      </c>
      <c r="H19" s="142">
        <v>5</v>
      </c>
      <c r="I19" s="143">
        <v>5</v>
      </c>
      <c r="J19" s="143">
        <f t="shared" si="9"/>
        <v>0</v>
      </c>
      <c r="K19" s="142">
        <v>4</v>
      </c>
      <c r="L19" s="143">
        <v>147</v>
      </c>
      <c r="M19" s="142">
        <v>0</v>
      </c>
      <c r="N19" s="163">
        <v>140</v>
      </c>
      <c r="O19" s="159">
        <f t="shared" si="0"/>
        <v>0</v>
      </c>
      <c r="P19" s="142">
        <v>0</v>
      </c>
      <c r="Q19" s="140">
        <f t="shared" si="1"/>
        <v>0</v>
      </c>
      <c r="R19" s="142">
        <v>0</v>
      </c>
      <c r="S19" s="151">
        <f t="shared" si="2"/>
        <v>0</v>
      </c>
      <c r="T19" s="140">
        <v>0</v>
      </c>
      <c r="U19" s="146">
        <f t="shared" si="3"/>
        <v>0</v>
      </c>
      <c r="V19" s="140">
        <v>0</v>
      </c>
      <c r="W19" s="140">
        <f t="shared" si="4"/>
        <v>0</v>
      </c>
      <c r="X19" s="146"/>
      <c r="Y19" s="155">
        <f t="shared" si="5"/>
        <v>0</v>
      </c>
      <c r="Z19" s="206">
        <f t="shared" si="6"/>
        <v>0</v>
      </c>
      <c r="AA19" s="149">
        <f t="shared" si="7"/>
        <v>0</v>
      </c>
      <c r="AD19" s="149" t="e">
        <f t="shared" si="13"/>
        <v>#DIV/0!</v>
      </c>
      <c r="AE19" s="149">
        <f t="shared" si="8"/>
        <v>0</v>
      </c>
    </row>
    <row r="20" spans="1:31" ht="15">
      <c r="A20" s="221">
        <v>10949</v>
      </c>
      <c r="B20" s="221">
        <v>18</v>
      </c>
      <c r="C20" s="225"/>
      <c r="D20" s="187" t="s">
        <v>1516</v>
      </c>
      <c r="E20" s="187"/>
      <c r="F20" s="188">
        <v>1</v>
      </c>
      <c r="G20" s="188" t="s">
        <v>440</v>
      </c>
      <c r="H20" s="142">
        <f>149+157</f>
        <v>306</v>
      </c>
      <c r="I20" s="143">
        <f>175+100+67</f>
        <v>342</v>
      </c>
      <c r="J20" s="143">
        <v>600</v>
      </c>
      <c r="K20" s="142">
        <v>600</v>
      </c>
      <c r="L20" s="143">
        <v>100</v>
      </c>
      <c r="M20" s="142">
        <f t="shared" si="14"/>
        <v>500</v>
      </c>
      <c r="N20" s="163">
        <v>130</v>
      </c>
      <c r="O20" s="159">
        <f t="shared" si="0"/>
        <v>65000</v>
      </c>
      <c r="P20" s="142">
        <v>100</v>
      </c>
      <c r="Q20" s="140">
        <f>P20*N20</f>
        <v>13000</v>
      </c>
      <c r="R20" s="142">
        <v>200</v>
      </c>
      <c r="S20" s="151">
        <f>R20*N20</f>
        <v>26000</v>
      </c>
      <c r="T20" s="140">
        <v>100</v>
      </c>
      <c r="U20" s="146">
        <f>T20*N20</f>
        <v>13000</v>
      </c>
      <c r="V20" s="140">
        <v>100</v>
      </c>
      <c r="W20" s="140">
        <f>V20*N20</f>
        <v>13000</v>
      </c>
      <c r="X20" s="146"/>
      <c r="Y20" s="155">
        <f>M20-Z20</f>
        <v>0</v>
      </c>
      <c r="Z20" s="206">
        <f>P20+R20+T20+V20</f>
        <v>500</v>
      </c>
      <c r="AA20" s="149">
        <f>M20/4</f>
        <v>125</v>
      </c>
      <c r="AD20" s="149" t="e">
        <f t="shared" si="13"/>
        <v>#DIV/0!</v>
      </c>
      <c r="AE20" s="149">
        <f t="shared" si="8"/>
        <v>0</v>
      </c>
    </row>
    <row r="21" spans="1:31" ht="15">
      <c r="A21" s="221">
        <v>10949</v>
      </c>
      <c r="B21" s="221">
        <v>19</v>
      </c>
      <c r="C21" s="225"/>
      <c r="D21" s="187" t="s">
        <v>1517</v>
      </c>
      <c r="E21" s="187"/>
      <c r="F21" s="188">
        <v>1</v>
      </c>
      <c r="G21" s="188" t="s">
        <v>440</v>
      </c>
      <c r="H21" s="142">
        <v>277</v>
      </c>
      <c r="I21" s="143">
        <f>75+264</f>
        <v>339</v>
      </c>
      <c r="J21" s="143">
        <f t="shared" si="9"/>
        <v>400</v>
      </c>
      <c r="K21" s="142">
        <v>400</v>
      </c>
      <c r="L21" s="143">
        <v>0</v>
      </c>
      <c r="M21" s="142">
        <f t="shared" si="14"/>
        <v>400</v>
      </c>
      <c r="N21" s="163">
        <v>130</v>
      </c>
      <c r="O21" s="159">
        <f t="shared" si="0"/>
        <v>52000</v>
      </c>
      <c r="P21" s="142">
        <v>100</v>
      </c>
      <c r="Q21" s="140">
        <f>P21*N21</f>
        <v>13000</v>
      </c>
      <c r="R21" s="142">
        <v>100</v>
      </c>
      <c r="S21" s="151">
        <f>R21*N21</f>
        <v>13000</v>
      </c>
      <c r="T21" s="140">
        <v>100</v>
      </c>
      <c r="U21" s="146">
        <f>T21*N21</f>
        <v>13000</v>
      </c>
      <c r="V21" s="140">
        <v>100</v>
      </c>
      <c r="W21" s="140">
        <f>V21*N21</f>
        <v>13000</v>
      </c>
      <c r="X21" s="146"/>
      <c r="Y21" s="155">
        <f>M21-Z21</f>
        <v>0</v>
      </c>
      <c r="Z21" s="206">
        <f>P21+R21+T21+V21</f>
        <v>400</v>
      </c>
      <c r="AA21" s="149">
        <f>M21/4</f>
        <v>100</v>
      </c>
      <c r="AB21" s="149">
        <v>300</v>
      </c>
      <c r="AC21" s="149">
        <v>39000</v>
      </c>
      <c r="AD21" s="149">
        <f t="shared" si="13"/>
        <v>130</v>
      </c>
      <c r="AE21" s="149">
        <f t="shared" si="8"/>
        <v>400</v>
      </c>
    </row>
    <row r="22" spans="1:31" ht="15">
      <c r="A22" s="221">
        <v>10949</v>
      </c>
      <c r="B22" s="221">
        <v>20</v>
      </c>
      <c r="C22" s="221"/>
      <c r="D22" s="187" t="s">
        <v>445</v>
      </c>
      <c r="E22" s="187"/>
      <c r="F22" s="188">
        <v>1</v>
      </c>
      <c r="G22" s="188" t="s">
        <v>444</v>
      </c>
      <c r="H22" s="142">
        <v>266</v>
      </c>
      <c r="I22" s="143">
        <v>322</v>
      </c>
      <c r="J22" s="143">
        <f t="shared" si="9"/>
        <v>533.3333333333333</v>
      </c>
      <c r="K22" s="142">
        <v>500</v>
      </c>
      <c r="L22" s="143">
        <v>200</v>
      </c>
      <c r="M22" s="142">
        <f t="shared" si="14"/>
        <v>300</v>
      </c>
      <c r="N22" s="163">
        <v>40</v>
      </c>
      <c r="O22" s="159">
        <f t="shared" si="0"/>
        <v>12000</v>
      </c>
      <c r="P22" s="142">
        <v>0</v>
      </c>
      <c r="Q22" s="140">
        <f t="shared" si="1"/>
        <v>0</v>
      </c>
      <c r="R22" s="142">
        <v>100</v>
      </c>
      <c r="S22" s="151">
        <f t="shared" si="2"/>
        <v>4000</v>
      </c>
      <c r="T22" s="140">
        <v>100</v>
      </c>
      <c r="U22" s="146">
        <f t="shared" si="3"/>
        <v>4000</v>
      </c>
      <c r="V22" s="140">
        <v>100</v>
      </c>
      <c r="W22" s="140">
        <f t="shared" si="4"/>
        <v>4000</v>
      </c>
      <c r="X22" s="146"/>
      <c r="Y22" s="155">
        <f t="shared" si="5"/>
        <v>0</v>
      </c>
      <c r="Z22" s="206">
        <f t="shared" si="6"/>
        <v>300</v>
      </c>
      <c r="AA22" s="149">
        <f t="shared" si="7"/>
        <v>75</v>
      </c>
      <c r="AB22" s="149">
        <v>400</v>
      </c>
      <c r="AC22" s="149">
        <v>16000</v>
      </c>
      <c r="AD22" s="149">
        <f t="shared" si="13"/>
        <v>40</v>
      </c>
      <c r="AE22" s="149">
        <f t="shared" si="8"/>
        <v>533.3333333333333</v>
      </c>
    </row>
    <row r="23" spans="1:31" ht="15">
      <c r="A23" s="221">
        <v>10949</v>
      </c>
      <c r="B23" s="221">
        <v>21</v>
      </c>
      <c r="C23" s="221"/>
      <c r="D23" s="187" t="s">
        <v>446</v>
      </c>
      <c r="E23" s="187"/>
      <c r="F23" s="188">
        <v>1</v>
      </c>
      <c r="G23" s="188" t="s">
        <v>440</v>
      </c>
      <c r="H23" s="142">
        <v>0</v>
      </c>
      <c r="I23" s="143">
        <v>0</v>
      </c>
      <c r="J23" s="143">
        <f t="shared" si="9"/>
        <v>0</v>
      </c>
      <c r="K23" s="142">
        <v>0</v>
      </c>
      <c r="L23" s="143">
        <v>0</v>
      </c>
      <c r="M23" s="142">
        <f t="shared" si="14"/>
        <v>0</v>
      </c>
      <c r="N23" s="163">
        <v>50</v>
      </c>
      <c r="O23" s="159">
        <f t="shared" si="0"/>
        <v>0</v>
      </c>
      <c r="P23" s="140">
        <v>0</v>
      </c>
      <c r="Q23" s="140">
        <f aca="true" t="shared" si="15" ref="Q23:Q56">P23*N23</f>
        <v>0</v>
      </c>
      <c r="R23" s="140">
        <v>0</v>
      </c>
      <c r="S23" s="151">
        <f aca="true" t="shared" si="16" ref="S23:S56">R23*N23</f>
        <v>0</v>
      </c>
      <c r="T23" s="140">
        <v>0</v>
      </c>
      <c r="U23" s="146">
        <f aca="true" t="shared" si="17" ref="U23:U56">T23*N23</f>
        <v>0</v>
      </c>
      <c r="V23" s="140">
        <v>0</v>
      </c>
      <c r="W23" s="140">
        <f aca="true" t="shared" si="18" ref="W23:W56">V23*N23</f>
        <v>0</v>
      </c>
      <c r="X23" s="146"/>
      <c r="Y23" s="155">
        <f aca="true" t="shared" si="19" ref="Y23:Y45">M23-Z23</f>
        <v>0</v>
      </c>
      <c r="Z23" s="206">
        <f aca="true" t="shared" si="20" ref="Z23:Z45">P23+R23+T23+V23</f>
        <v>0</v>
      </c>
      <c r="AA23" s="149">
        <f aca="true" t="shared" si="21" ref="AA23:AA45">M23/4</f>
        <v>0</v>
      </c>
      <c r="AD23" s="149" t="e">
        <f t="shared" si="13"/>
        <v>#DIV/0!</v>
      </c>
      <c r="AE23" s="149">
        <f t="shared" si="8"/>
        <v>0</v>
      </c>
    </row>
    <row r="24" spans="1:31" ht="15">
      <c r="A24" s="221">
        <v>10949</v>
      </c>
      <c r="B24" s="221">
        <v>22</v>
      </c>
      <c r="C24" s="225"/>
      <c r="D24" s="187" t="s">
        <v>447</v>
      </c>
      <c r="E24" s="187"/>
      <c r="F24" s="188">
        <v>1</v>
      </c>
      <c r="G24" s="188" t="s">
        <v>440</v>
      </c>
      <c r="H24" s="142">
        <v>0</v>
      </c>
      <c r="I24" s="143">
        <v>0</v>
      </c>
      <c r="J24" s="143">
        <f t="shared" si="9"/>
        <v>0</v>
      </c>
      <c r="K24" s="142">
        <v>0</v>
      </c>
      <c r="L24" s="143">
        <v>0</v>
      </c>
      <c r="M24" s="142">
        <f t="shared" si="14"/>
        <v>0</v>
      </c>
      <c r="N24" s="163">
        <v>70</v>
      </c>
      <c r="O24" s="159">
        <f t="shared" si="0"/>
        <v>0</v>
      </c>
      <c r="P24" s="140">
        <v>0</v>
      </c>
      <c r="Q24" s="140">
        <f t="shared" si="15"/>
        <v>0</v>
      </c>
      <c r="R24" s="140">
        <v>0</v>
      </c>
      <c r="S24" s="151">
        <f t="shared" si="16"/>
        <v>0</v>
      </c>
      <c r="T24" s="140">
        <v>0</v>
      </c>
      <c r="U24" s="146">
        <f t="shared" si="17"/>
        <v>0</v>
      </c>
      <c r="V24" s="140">
        <v>0</v>
      </c>
      <c r="W24" s="140">
        <f t="shared" si="18"/>
        <v>0</v>
      </c>
      <c r="X24" s="146"/>
      <c r="Y24" s="155">
        <f t="shared" si="19"/>
        <v>0</v>
      </c>
      <c r="Z24" s="206">
        <f t="shared" si="20"/>
        <v>0</v>
      </c>
      <c r="AA24" s="149">
        <f t="shared" si="21"/>
        <v>0</v>
      </c>
      <c r="AD24" s="149" t="e">
        <f t="shared" si="13"/>
        <v>#DIV/0!</v>
      </c>
      <c r="AE24" s="149">
        <f t="shared" si="8"/>
        <v>0</v>
      </c>
    </row>
    <row r="25" spans="1:31" ht="15">
      <c r="A25" s="221">
        <v>10949</v>
      </c>
      <c r="B25" s="221">
        <v>23</v>
      </c>
      <c r="C25" s="225"/>
      <c r="D25" s="270" t="s">
        <v>581</v>
      </c>
      <c r="E25" s="270"/>
      <c r="F25" s="325">
        <v>1</v>
      </c>
      <c r="G25" s="325" t="s">
        <v>580</v>
      </c>
      <c r="H25" s="142">
        <v>292</v>
      </c>
      <c r="I25" s="143">
        <v>260</v>
      </c>
      <c r="J25" s="143">
        <f t="shared" si="9"/>
        <v>0</v>
      </c>
      <c r="K25" s="142">
        <v>0</v>
      </c>
      <c r="L25" s="143">
        <v>762</v>
      </c>
      <c r="M25" s="142">
        <v>0</v>
      </c>
      <c r="N25" s="163">
        <v>35</v>
      </c>
      <c r="O25" s="159">
        <f t="shared" si="0"/>
        <v>0</v>
      </c>
      <c r="P25" s="140">
        <v>0</v>
      </c>
      <c r="Q25" s="140">
        <f t="shared" si="15"/>
        <v>0</v>
      </c>
      <c r="R25" s="140">
        <v>0</v>
      </c>
      <c r="S25" s="151">
        <f t="shared" si="16"/>
        <v>0</v>
      </c>
      <c r="T25" s="140">
        <v>0</v>
      </c>
      <c r="U25" s="146">
        <f t="shared" si="17"/>
        <v>0</v>
      </c>
      <c r="V25" s="140">
        <v>0</v>
      </c>
      <c r="W25" s="140">
        <f t="shared" si="18"/>
        <v>0</v>
      </c>
      <c r="X25" s="146"/>
      <c r="Y25" s="155">
        <f t="shared" si="19"/>
        <v>0</v>
      </c>
      <c r="Z25" s="206">
        <f t="shared" si="20"/>
        <v>0</v>
      </c>
      <c r="AA25" s="149">
        <f t="shared" si="21"/>
        <v>0</v>
      </c>
      <c r="AD25" s="149" t="e">
        <f t="shared" si="13"/>
        <v>#DIV/0!</v>
      </c>
      <c r="AE25" s="149">
        <f t="shared" si="8"/>
        <v>0</v>
      </c>
    </row>
    <row r="26" spans="1:31" ht="15">
      <c r="A26" s="221">
        <v>10949</v>
      </c>
      <c r="B26" s="221">
        <v>24</v>
      </c>
      <c r="C26" s="221"/>
      <c r="D26" s="187" t="s">
        <v>448</v>
      </c>
      <c r="E26" s="187"/>
      <c r="F26" s="188">
        <v>1</v>
      </c>
      <c r="G26" s="188" t="s">
        <v>444</v>
      </c>
      <c r="H26" s="142">
        <v>117</v>
      </c>
      <c r="I26" s="143">
        <v>5</v>
      </c>
      <c r="J26" s="143">
        <f t="shared" si="9"/>
        <v>0</v>
      </c>
      <c r="K26" s="142">
        <v>0</v>
      </c>
      <c r="L26" s="143">
        <v>1168</v>
      </c>
      <c r="M26" s="142">
        <v>0</v>
      </c>
      <c r="N26" s="163">
        <v>35</v>
      </c>
      <c r="O26" s="159">
        <f t="shared" si="0"/>
        <v>0</v>
      </c>
      <c r="P26" s="140">
        <v>0</v>
      </c>
      <c r="Q26" s="140">
        <f t="shared" si="15"/>
        <v>0</v>
      </c>
      <c r="R26" s="140">
        <v>0</v>
      </c>
      <c r="S26" s="151">
        <f t="shared" si="16"/>
        <v>0</v>
      </c>
      <c r="T26" s="140">
        <v>0</v>
      </c>
      <c r="U26" s="146">
        <f t="shared" si="17"/>
        <v>0</v>
      </c>
      <c r="V26" s="140">
        <v>0</v>
      </c>
      <c r="W26" s="140">
        <f t="shared" si="18"/>
        <v>0</v>
      </c>
      <c r="X26" s="146"/>
      <c r="Y26" s="155">
        <f t="shared" si="19"/>
        <v>0</v>
      </c>
      <c r="Z26" s="206">
        <f t="shared" si="20"/>
        <v>0</v>
      </c>
      <c r="AA26" s="149">
        <f t="shared" si="21"/>
        <v>0</v>
      </c>
      <c r="AD26" s="149" t="e">
        <f t="shared" si="13"/>
        <v>#DIV/0!</v>
      </c>
      <c r="AE26" s="149">
        <f t="shared" si="8"/>
        <v>0</v>
      </c>
    </row>
    <row r="27" spans="1:34" ht="15">
      <c r="A27" s="221">
        <v>10949</v>
      </c>
      <c r="B27" s="221">
        <v>25</v>
      </c>
      <c r="C27" s="225"/>
      <c r="D27" s="187" t="s">
        <v>449</v>
      </c>
      <c r="E27" s="187"/>
      <c r="F27" s="188">
        <v>1</v>
      </c>
      <c r="G27" s="188" t="s">
        <v>444</v>
      </c>
      <c r="H27" s="142">
        <v>13</v>
      </c>
      <c r="I27" s="143">
        <v>0</v>
      </c>
      <c r="J27" s="143">
        <f t="shared" si="9"/>
        <v>0</v>
      </c>
      <c r="K27" s="142">
        <v>0</v>
      </c>
      <c r="L27" s="143">
        <v>0</v>
      </c>
      <c r="M27" s="142">
        <v>0</v>
      </c>
      <c r="N27" s="163">
        <v>67.5</v>
      </c>
      <c r="O27" s="159">
        <f t="shared" si="0"/>
        <v>0</v>
      </c>
      <c r="P27" s="140">
        <v>0</v>
      </c>
      <c r="Q27" s="140">
        <f t="shared" si="15"/>
        <v>0</v>
      </c>
      <c r="R27" s="142">
        <v>0</v>
      </c>
      <c r="S27" s="151">
        <f t="shared" si="16"/>
        <v>0</v>
      </c>
      <c r="T27" s="140">
        <v>0</v>
      </c>
      <c r="U27" s="146">
        <f t="shared" si="17"/>
        <v>0</v>
      </c>
      <c r="V27" s="140">
        <v>0</v>
      </c>
      <c r="W27" s="140">
        <f t="shared" si="18"/>
        <v>0</v>
      </c>
      <c r="X27" s="146"/>
      <c r="Y27" s="155">
        <f t="shared" si="19"/>
        <v>0</v>
      </c>
      <c r="Z27" s="206">
        <f t="shared" si="20"/>
        <v>0</v>
      </c>
      <c r="AA27" s="149">
        <f t="shared" si="21"/>
        <v>0</v>
      </c>
      <c r="AD27" s="149" t="e">
        <f t="shared" si="13"/>
        <v>#DIV/0!</v>
      </c>
      <c r="AE27" s="149">
        <f t="shared" si="8"/>
        <v>0</v>
      </c>
      <c r="AH27" s="149" t="s">
        <v>440</v>
      </c>
    </row>
    <row r="28" spans="1:31" ht="15">
      <c r="A28" s="221">
        <v>10949</v>
      </c>
      <c r="B28" s="221">
        <v>26</v>
      </c>
      <c r="C28" s="225"/>
      <c r="D28" s="187" t="s">
        <v>1518</v>
      </c>
      <c r="E28" s="187"/>
      <c r="F28" s="188">
        <v>1</v>
      </c>
      <c r="G28" s="188" t="s">
        <v>411</v>
      </c>
      <c r="H28" s="142">
        <v>20</v>
      </c>
      <c r="I28" s="143">
        <v>11</v>
      </c>
      <c r="J28" s="143">
        <f t="shared" si="9"/>
        <v>0</v>
      </c>
      <c r="K28" s="142">
        <v>0</v>
      </c>
      <c r="L28" s="143">
        <v>150</v>
      </c>
      <c r="M28" s="142">
        <v>0</v>
      </c>
      <c r="N28" s="163">
        <v>54</v>
      </c>
      <c r="O28" s="159">
        <f t="shared" si="0"/>
        <v>0</v>
      </c>
      <c r="P28" s="140">
        <v>0</v>
      </c>
      <c r="Q28" s="140">
        <f t="shared" si="15"/>
        <v>0</v>
      </c>
      <c r="R28" s="140">
        <v>0</v>
      </c>
      <c r="S28" s="151">
        <f t="shared" si="16"/>
        <v>0</v>
      </c>
      <c r="T28" s="140">
        <v>0</v>
      </c>
      <c r="U28" s="146">
        <f t="shared" si="17"/>
        <v>0</v>
      </c>
      <c r="V28" s="140">
        <v>0</v>
      </c>
      <c r="W28" s="140">
        <f t="shared" si="18"/>
        <v>0</v>
      </c>
      <c r="X28" s="146"/>
      <c r="Y28" s="155">
        <f t="shared" si="19"/>
        <v>0</v>
      </c>
      <c r="Z28" s="206">
        <f t="shared" si="20"/>
        <v>0</v>
      </c>
      <c r="AA28" s="149">
        <f t="shared" si="21"/>
        <v>0</v>
      </c>
      <c r="AD28" s="149" t="e">
        <f t="shared" si="13"/>
        <v>#DIV/0!</v>
      </c>
      <c r="AE28" s="149">
        <f t="shared" si="8"/>
        <v>0</v>
      </c>
    </row>
    <row r="29" spans="1:31" ht="15">
      <c r="A29" s="221">
        <v>10949</v>
      </c>
      <c r="B29" s="221">
        <v>27</v>
      </c>
      <c r="C29" s="221"/>
      <c r="D29" s="187" t="s">
        <v>1519</v>
      </c>
      <c r="E29" s="187"/>
      <c r="F29" s="188">
        <v>1</v>
      </c>
      <c r="G29" s="188" t="s">
        <v>411</v>
      </c>
      <c r="H29" s="142">
        <v>15</v>
      </c>
      <c r="I29" s="143">
        <v>14</v>
      </c>
      <c r="J29" s="143">
        <f t="shared" si="9"/>
        <v>0</v>
      </c>
      <c r="K29" s="142">
        <v>0</v>
      </c>
      <c r="L29" s="143">
        <v>146</v>
      </c>
      <c r="M29" s="142">
        <v>0</v>
      </c>
      <c r="N29" s="163">
        <v>54</v>
      </c>
      <c r="O29" s="159">
        <f t="shared" si="0"/>
        <v>0</v>
      </c>
      <c r="P29" s="140">
        <v>0</v>
      </c>
      <c r="Q29" s="140">
        <f t="shared" si="15"/>
        <v>0</v>
      </c>
      <c r="R29" s="140">
        <v>0</v>
      </c>
      <c r="S29" s="151">
        <f t="shared" si="16"/>
        <v>0</v>
      </c>
      <c r="T29" s="140">
        <v>0</v>
      </c>
      <c r="U29" s="146">
        <f t="shared" si="17"/>
        <v>0</v>
      </c>
      <c r="V29" s="140">
        <v>0</v>
      </c>
      <c r="W29" s="140">
        <f t="shared" si="18"/>
        <v>0</v>
      </c>
      <c r="X29" s="146"/>
      <c r="Y29" s="155">
        <f t="shared" si="19"/>
        <v>0</v>
      </c>
      <c r="Z29" s="206">
        <f t="shared" si="20"/>
        <v>0</v>
      </c>
      <c r="AA29" s="149">
        <f t="shared" si="21"/>
        <v>0</v>
      </c>
      <c r="AD29" s="149" t="e">
        <f t="shared" si="13"/>
        <v>#DIV/0!</v>
      </c>
      <c r="AE29" s="149">
        <f t="shared" si="8"/>
        <v>0</v>
      </c>
    </row>
    <row r="30" spans="1:31" ht="15">
      <c r="A30" s="221">
        <v>10949</v>
      </c>
      <c r="B30" s="221">
        <v>28</v>
      </c>
      <c r="C30" s="225"/>
      <c r="D30" s="270" t="s">
        <v>555</v>
      </c>
      <c r="E30" s="270"/>
      <c r="F30" s="325">
        <v>1</v>
      </c>
      <c r="G30" s="325" t="s">
        <v>578</v>
      </c>
      <c r="H30" s="142">
        <v>153</v>
      </c>
      <c r="I30" s="143">
        <v>132</v>
      </c>
      <c r="J30" s="143">
        <v>133</v>
      </c>
      <c r="K30" s="142">
        <v>150</v>
      </c>
      <c r="L30" s="143">
        <v>50</v>
      </c>
      <c r="M30" s="142">
        <f t="shared" si="14"/>
        <v>100</v>
      </c>
      <c r="N30" s="160">
        <v>230</v>
      </c>
      <c r="O30" s="159">
        <f t="shared" si="0"/>
        <v>23000</v>
      </c>
      <c r="P30" s="140">
        <v>0</v>
      </c>
      <c r="Q30" s="140">
        <f t="shared" si="15"/>
        <v>0</v>
      </c>
      <c r="R30" s="142">
        <v>50</v>
      </c>
      <c r="S30" s="151">
        <f t="shared" si="16"/>
        <v>11500</v>
      </c>
      <c r="T30" s="140">
        <v>0</v>
      </c>
      <c r="U30" s="146">
        <f t="shared" si="17"/>
        <v>0</v>
      </c>
      <c r="V30" s="140">
        <v>50</v>
      </c>
      <c r="W30" s="140">
        <f t="shared" si="18"/>
        <v>11500</v>
      </c>
      <c r="X30" s="146"/>
      <c r="Y30" s="155">
        <f t="shared" si="19"/>
        <v>0</v>
      </c>
      <c r="Z30" s="206">
        <f t="shared" si="20"/>
        <v>100</v>
      </c>
      <c r="AA30" s="149">
        <f t="shared" si="21"/>
        <v>25</v>
      </c>
      <c r="AB30" s="149">
        <v>100000</v>
      </c>
      <c r="AC30" s="149">
        <v>23000</v>
      </c>
      <c r="AD30" s="149">
        <f t="shared" si="13"/>
        <v>0.23</v>
      </c>
      <c r="AE30" s="149">
        <f t="shared" si="8"/>
        <v>133333.33333333334</v>
      </c>
    </row>
    <row r="31" spans="1:31" ht="15">
      <c r="A31" s="221">
        <v>10949</v>
      </c>
      <c r="B31" s="221">
        <v>29</v>
      </c>
      <c r="C31" s="225"/>
      <c r="D31" s="187" t="s">
        <v>518</v>
      </c>
      <c r="E31" s="187"/>
      <c r="F31" s="188">
        <v>1</v>
      </c>
      <c r="G31" s="188" t="s">
        <v>411</v>
      </c>
      <c r="H31" s="142">
        <v>0</v>
      </c>
      <c r="I31" s="142">
        <v>0</v>
      </c>
      <c r="J31" s="143">
        <f t="shared" si="9"/>
        <v>0</v>
      </c>
      <c r="K31" s="142">
        <v>0</v>
      </c>
      <c r="L31" s="142">
        <v>0</v>
      </c>
      <c r="M31" s="142">
        <f t="shared" si="14"/>
        <v>0</v>
      </c>
      <c r="N31" s="163">
        <v>48</v>
      </c>
      <c r="O31" s="159">
        <f t="shared" si="0"/>
        <v>0</v>
      </c>
      <c r="P31" s="140">
        <v>0</v>
      </c>
      <c r="Q31" s="140">
        <f t="shared" si="15"/>
        <v>0</v>
      </c>
      <c r="R31" s="140">
        <v>0</v>
      </c>
      <c r="S31" s="151">
        <f t="shared" si="16"/>
        <v>0</v>
      </c>
      <c r="T31" s="140">
        <v>0</v>
      </c>
      <c r="U31" s="146">
        <f t="shared" si="17"/>
        <v>0</v>
      </c>
      <c r="V31" s="140">
        <v>0</v>
      </c>
      <c r="W31" s="140">
        <f t="shared" si="18"/>
        <v>0</v>
      </c>
      <c r="X31" s="146"/>
      <c r="Y31" s="155">
        <f t="shared" si="19"/>
        <v>0</v>
      </c>
      <c r="Z31" s="206">
        <f t="shared" si="20"/>
        <v>0</v>
      </c>
      <c r="AA31" s="149">
        <f t="shared" si="21"/>
        <v>0</v>
      </c>
      <c r="AD31" s="149" t="e">
        <f t="shared" si="13"/>
        <v>#DIV/0!</v>
      </c>
      <c r="AE31" s="149">
        <f t="shared" si="8"/>
        <v>0</v>
      </c>
    </row>
    <row r="32" spans="1:31" ht="15">
      <c r="A32" s="221">
        <v>10949</v>
      </c>
      <c r="B32" s="221">
        <v>30</v>
      </c>
      <c r="C32" s="221"/>
      <c r="D32" s="187" t="s">
        <v>519</v>
      </c>
      <c r="E32" s="187"/>
      <c r="F32" s="188">
        <v>1</v>
      </c>
      <c r="G32" s="188" t="s">
        <v>411</v>
      </c>
      <c r="H32" s="142">
        <v>0</v>
      </c>
      <c r="I32" s="142">
        <v>0</v>
      </c>
      <c r="J32" s="143">
        <f t="shared" si="9"/>
        <v>0</v>
      </c>
      <c r="K32" s="142">
        <v>0</v>
      </c>
      <c r="L32" s="142">
        <v>0</v>
      </c>
      <c r="M32" s="142">
        <f t="shared" si="14"/>
        <v>0</v>
      </c>
      <c r="N32" s="163">
        <v>48</v>
      </c>
      <c r="O32" s="159">
        <f t="shared" si="0"/>
        <v>0</v>
      </c>
      <c r="P32" s="140">
        <v>0</v>
      </c>
      <c r="Q32" s="140">
        <f t="shared" si="15"/>
        <v>0</v>
      </c>
      <c r="R32" s="140">
        <v>0</v>
      </c>
      <c r="S32" s="151">
        <f t="shared" si="16"/>
        <v>0</v>
      </c>
      <c r="T32" s="140">
        <v>0</v>
      </c>
      <c r="U32" s="146">
        <f t="shared" si="17"/>
        <v>0</v>
      </c>
      <c r="V32" s="140">
        <v>0</v>
      </c>
      <c r="W32" s="140">
        <f t="shared" si="18"/>
        <v>0</v>
      </c>
      <c r="X32" s="146"/>
      <c r="Y32" s="155">
        <f t="shared" si="19"/>
        <v>0</v>
      </c>
      <c r="Z32" s="206">
        <f t="shared" si="20"/>
        <v>0</v>
      </c>
      <c r="AA32" s="149">
        <f t="shared" si="21"/>
        <v>0</v>
      </c>
      <c r="AD32" s="149" t="e">
        <f t="shared" si="13"/>
        <v>#DIV/0!</v>
      </c>
      <c r="AE32" s="149">
        <f t="shared" si="8"/>
        <v>0</v>
      </c>
    </row>
    <row r="33" spans="1:31" ht="15">
      <c r="A33" s="221">
        <v>10949</v>
      </c>
      <c r="B33" s="221">
        <v>31</v>
      </c>
      <c r="C33" s="225"/>
      <c r="D33" s="187" t="s">
        <v>520</v>
      </c>
      <c r="E33" s="187"/>
      <c r="F33" s="188">
        <v>1</v>
      </c>
      <c r="G33" s="188" t="s">
        <v>411</v>
      </c>
      <c r="H33" s="142">
        <v>0</v>
      </c>
      <c r="I33" s="142">
        <v>0</v>
      </c>
      <c r="J33" s="143">
        <f t="shared" si="9"/>
        <v>0</v>
      </c>
      <c r="K33" s="142">
        <v>0</v>
      </c>
      <c r="L33" s="142">
        <v>0</v>
      </c>
      <c r="M33" s="142">
        <f t="shared" si="14"/>
        <v>0</v>
      </c>
      <c r="N33" s="163">
        <v>48</v>
      </c>
      <c r="O33" s="159">
        <f t="shared" si="0"/>
        <v>0</v>
      </c>
      <c r="P33" s="140">
        <v>0</v>
      </c>
      <c r="Q33" s="140">
        <f t="shared" si="15"/>
        <v>0</v>
      </c>
      <c r="R33" s="140">
        <v>0</v>
      </c>
      <c r="S33" s="151">
        <f t="shared" si="16"/>
        <v>0</v>
      </c>
      <c r="T33" s="140">
        <v>0</v>
      </c>
      <c r="U33" s="146">
        <f t="shared" si="17"/>
        <v>0</v>
      </c>
      <c r="V33" s="140">
        <v>0</v>
      </c>
      <c r="W33" s="140">
        <f t="shared" si="18"/>
        <v>0</v>
      </c>
      <c r="X33" s="146"/>
      <c r="Y33" s="155">
        <f t="shared" si="19"/>
        <v>0</v>
      </c>
      <c r="Z33" s="206">
        <f t="shared" si="20"/>
        <v>0</v>
      </c>
      <c r="AA33" s="149">
        <f t="shared" si="21"/>
        <v>0</v>
      </c>
      <c r="AD33" s="149" t="e">
        <f t="shared" si="13"/>
        <v>#DIV/0!</v>
      </c>
      <c r="AE33" s="149">
        <f t="shared" si="8"/>
        <v>0</v>
      </c>
    </row>
    <row r="34" spans="1:33" ht="15">
      <c r="A34" s="130" t="s">
        <v>1199</v>
      </c>
      <c r="B34" s="237" t="s">
        <v>2</v>
      </c>
      <c r="C34" s="134" t="s">
        <v>1217</v>
      </c>
      <c r="D34" s="236" t="s">
        <v>1218</v>
      </c>
      <c r="E34" s="236" t="s">
        <v>1202</v>
      </c>
      <c r="F34" s="237" t="s">
        <v>1579</v>
      </c>
      <c r="G34" s="237" t="s">
        <v>1203</v>
      </c>
      <c r="H34" s="273"/>
      <c r="I34" s="274" t="s">
        <v>1205</v>
      </c>
      <c r="J34" s="235"/>
      <c r="K34" s="236" t="s">
        <v>0</v>
      </c>
      <c r="L34" s="236" t="s">
        <v>1214</v>
      </c>
      <c r="M34" s="236" t="s">
        <v>0</v>
      </c>
      <c r="N34" s="319" t="s">
        <v>1</v>
      </c>
      <c r="O34" s="320" t="s">
        <v>1206</v>
      </c>
      <c r="P34" s="255" t="s">
        <v>1210</v>
      </c>
      <c r="Q34" s="235"/>
      <c r="R34" s="255" t="s">
        <v>1209</v>
      </c>
      <c r="S34" s="321"/>
      <c r="T34" s="255" t="s">
        <v>1212</v>
      </c>
      <c r="U34" s="235"/>
      <c r="V34" s="255" t="s">
        <v>1211</v>
      </c>
      <c r="W34" s="256"/>
      <c r="X34" s="203" t="s">
        <v>608</v>
      </c>
      <c r="Y34" s="204"/>
      <c r="Z34" s="149" t="s">
        <v>1388</v>
      </c>
      <c r="AA34" s="149" t="s">
        <v>1318</v>
      </c>
      <c r="AB34" s="149" t="s">
        <v>1297</v>
      </c>
      <c r="AC34" s="149" t="s">
        <v>6</v>
      </c>
      <c r="AD34" s="149" t="s">
        <v>1</v>
      </c>
      <c r="AE34" s="149" t="s">
        <v>1303</v>
      </c>
      <c r="AF34" s="149" t="s">
        <v>4</v>
      </c>
      <c r="AG34" s="150" t="s">
        <v>1304</v>
      </c>
    </row>
    <row r="35" spans="1:29" ht="15">
      <c r="A35" s="252"/>
      <c r="B35" s="252"/>
      <c r="C35" s="252"/>
      <c r="D35" s="252"/>
      <c r="E35" s="252"/>
      <c r="F35" s="241" t="s">
        <v>1204</v>
      </c>
      <c r="G35" s="277" t="s">
        <v>1204</v>
      </c>
      <c r="H35" s="136">
        <v>2562</v>
      </c>
      <c r="I35" s="136">
        <v>2563</v>
      </c>
      <c r="J35" s="136">
        <v>2564</v>
      </c>
      <c r="K35" s="136" t="s">
        <v>1537</v>
      </c>
      <c r="L35" s="136" t="s">
        <v>4</v>
      </c>
      <c r="M35" s="136" t="s">
        <v>1538</v>
      </c>
      <c r="N35" s="322" t="s">
        <v>3</v>
      </c>
      <c r="O35" s="323" t="s">
        <v>1207</v>
      </c>
      <c r="P35" s="258" t="s">
        <v>5</v>
      </c>
      <c r="Q35" s="241" t="s">
        <v>1208</v>
      </c>
      <c r="R35" s="241" t="s">
        <v>7</v>
      </c>
      <c r="S35" s="324" t="s">
        <v>1208</v>
      </c>
      <c r="T35" s="277" t="s">
        <v>5</v>
      </c>
      <c r="U35" s="277" t="s">
        <v>1208</v>
      </c>
      <c r="V35" s="277" t="s">
        <v>7</v>
      </c>
      <c r="W35" s="280" t="s">
        <v>1208</v>
      </c>
      <c r="X35" s="276"/>
      <c r="Y35" s="197"/>
      <c r="AB35" s="149" t="s">
        <v>1494</v>
      </c>
      <c r="AC35" s="149" t="s">
        <v>1207</v>
      </c>
    </row>
    <row r="36" spans="1:31" ht="15">
      <c r="A36" s="221">
        <v>10949</v>
      </c>
      <c r="B36" s="221">
        <v>32</v>
      </c>
      <c r="C36" s="225"/>
      <c r="D36" s="187" t="s">
        <v>521</v>
      </c>
      <c r="E36" s="187"/>
      <c r="F36" s="188">
        <v>1</v>
      </c>
      <c r="G36" s="188" t="s">
        <v>411</v>
      </c>
      <c r="H36" s="142">
        <v>0</v>
      </c>
      <c r="I36" s="142">
        <v>0</v>
      </c>
      <c r="J36" s="143">
        <f t="shared" si="9"/>
        <v>0</v>
      </c>
      <c r="K36" s="142">
        <v>0</v>
      </c>
      <c r="L36" s="142">
        <v>0</v>
      </c>
      <c r="M36" s="142">
        <f t="shared" si="14"/>
        <v>0</v>
      </c>
      <c r="N36" s="163">
        <v>48</v>
      </c>
      <c r="O36" s="159">
        <f t="shared" si="0"/>
        <v>0</v>
      </c>
      <c r="P36" s="140">
        <v>0</v>
      </c>
      <c r="Q36" s="140">
        <f t="shared" si="15"/>
        <v>0</v>
      </c>
      <c r="R36" s="140">
        <v>0</v>
      </c>
      <c r="S36" s="151">
        <f t="shared" si="16"/>
        <v>0</v>
      </c>
      <c r="T36" s="140">
        <v>0</v>
      </c>
      <c r="U36" s="146">
        <f t="shared" si="17"/>
        <v>0</v>
      </c>
      <c r="V36" s="140">
        <v>0</v>
      </c>
      <c r="W36" s="140">
        <f t="shared" si="18"/>
        <v>0</v>
      </c>
      <c r="X36" s="146"/>
      <c r="Y36" s="155">
        <f t="shared" si="19"/>
        <v>0</v>
      </c>
      <c r="Z36" s="206">
        <f t="shared" si="20"/>
        <v>0</v>
      </c>
      <c r="AA36" s="149">
        <f t="shared" si="21"/>
        <v>0</v>
      </c>
      <c r="AD36" s="149" t="e">
        <f t="shared" si="13"/>
        <v>#DIV/0!</v>
      </c>
      <c r="AE36" s="149">
        <f t="shared" si="8"/>
        <v>0</v>
      </c>
    </row>
    <row r="37" spans="1:31" ht="15">
      <c r="A37" s="221">
        <v>10949</v>
      </c>
      <c r="B37" s="221">
        <v>33</v>
      </c>
      <c r="C37" s="221"/>
      <c r="D37" s="187" t="s">
        <v>522</v>
      </c>
      <c r="E37" s="187"/>
      <c r="F37" s="188">
        <v>1</v>
      </c>
      <c r="G37" s="188" t="s">
        <v>411</v>
      </c>
      <c r="H37" s="142">
        <v>0</v>
      </c>
      <c r="I37" s="142">
        <v>0</v>
      </c>
      <c r="J37" s="143">
        <f t="shared" si="9"/>
        <v>0</v>
      </c>
      <c r="K37" s="142">
        <v>0</v>
      </c>
      <c r="L37" s="142">
        <v>0</v>
      </c>
      <c r="M37" s="142">
        <f t="shared" si="14"/>
        <v>0</v>
      </c>
      <c r="N37" s="163">
        <v>48</v>
      </c>
      <c r="O37" s="159">
        <f t="shared" si="0"/>
        <v>0</v>
      </c>
      <c r="P37" s="140">
        <v>0</v>
      </c>
      <c r="Q37" s="140">
        <f t="shared" si="15"/>
        <v>0</v>
      </c>
      <c r="R37" s="140">
        <v>0</v>
      </c>
      <c r="S37" s="151">
        <f t="shared" si="16"/>
        <v>0</v>
      </c>
      <c r="T37" s="140">
        <v>0</v>
      </c>
      <c r="U37" s="146">
        <f t="shared" si="17"/>
        <v>0</v>
      </c>
      <c r="V37" s="140">
        <v>0</v>
      </c>
      <c r="W37" s="140">
        <f t="shared" si="18"/>
        <v>0</v>
      </c>
      <c r="X37" s="146"/>
      <c r="Y37" s="155">
        <f t="shared" si="19"/>
        <v>0</v>
      </c>
      <c r="Z37" s="206">
        <f t="shared" si="20"/>
        <v>0</v>
      </c>
      <c r="AA37" s="149">
        <f t="shared" si="21"/>
        <v>0</v>
      </c>
      <c r="AD37" s="149" t="e">
        <f t="shared" si="13"/>
        <v>#DIV/0!</v>
      </c>
      <c r="AE37" s="149">
        <f t="shared" si="8"/>
        <v>0</v>
      </c>
    </row>
    <row r="38" spans="1:31" ht="15">
      <c r="A38" s="221">
        <v>10949</v>
      </c>
      <c r="B38" s="221">
        <v>34</v>
      </c>
      <c r="C38" s="225"/>
      <c r="D38" s="146" t="s">
        <v>577</v>
      </c>
      <c r="E38" s="146"/>
      <c r="F38" s="188">
        <v>1</v>
      </c>
      <c r="G38" s="326" t="s">
        <v>578</v>
      </c>
      <c r="H38" s="142">
        <v>666</v>
      </c>
      <c r="I38" s="143">
        <v>662</v>
      </c>
      <c r="J38" s="143">
        <v>800</v>
      </c>
      <c r="K38" s="142">
        <v>800</v>
      </c>
      <c r="L38" s="143">
        <v>100</v>
      </c>
      <c r="M38" s="142">
        <f t="shared" si="14"/>
        <v>700</v>
      </c>
      <c r="N38" s="160">
        <v>230</v>
      </c>
      <c r="O38" s="159">
        <f t="shared" si="0"/>
        <v>161000</v>
      </c>
      <c r="P38" s="140">
        <v>200</v>
      </c>
      <c r="Q38" s="140">
        <f t="shared" si="15"/>
        <v>46000</v>
      </c>
      <c r="R38" s="142">
        <v>150</v>
      </c>
      <c r="S38" s="151">
        <f t="shared" si="16"/>
        <v>34500</v>
      </c>
      <c r="T38" s="140">
        <v>200</v>
      </c>
      <c r="U38" s="146">
        <f t="shared" si="17"/>
        <v>46000</v>
      </c>
      <c r="V38" s="140">
        <v>150</v>
      </c>
      <c r="W38" s="140">
        <f t="shared" si="18"/>
        <v>34500</v>
      </c>
      <c r="X38" s="146"/>
      <c r="Y38" s="155">
        <f t="shared" si="19"/>
        <v>0</v>
      </c>
      <c r="Z38" s="206">
        <f t="shared" si="20"/>
        <v>700</v>
      </c>
      <c r="AA38" s="149">
        <f t="shared" si="21"/>
        <v>175</v>
      </c>
      <c r="AB38" s="149">
        <v>600000</v>
      </c>
      <c r="AC38" s="149">
        <v>138000</v>
      </c>
      <c r="AD38" s="149">
        <f t="shared" si="13"/>
        <v>0.23</v>
      </c>
      <c r="AE38" s="149">
        <f t="shared" si="8"/>
        <v>800000</v>
      </c>
    </row>
    <row r="39" spans="1:34" ht="15">
      <c r="A39" s="221">
        <v>10949</v>
      </c>
      <c r="B39" s="221">
        <v>35</v>
      </c>
      <c r="C39" s="225"/>
      <c r="D39" s="187" t="s">
        <v>1528</v>
      </c>
      <c r="E39" s="187"/>
      <c r="F39" s="140">
        <v>1000</v>
      </c>
      <c r="G39" s="140" t="s">
        <v>450</v>
      </c>
      <c r="H39" s="142">
        <v>2</v>
      </c>
      <c r="I39" s="143">
        <v>44</v>
      </c>
      <c r="J39" s="143">
        <f t="shared" si="9"/>
        <v>0</v>
      </c>
      <c r="K39" s="142">
        <v>0</v>
      </c>
      <c r="L39" s="143">
        <v>82</v>
      </c>
      <c r="M39" s="142">
        <v>0</v>
      </c>
      <c r="N39" s="163">
        <v>230</v>
      </c>
      <c r="O39" s="159">
        <f t="shared" si="0"/>
        <v>0</v>
      </c>
      <c r="P39" s="140">
        <v>0</v>
      </c>
      <c r="Q39" s="140">
        <f t="shared" si="15"/>
        <v>0</v>
      </c>
      <c r="R39" s="140">
        <v>0</v>
      </c>
      <c r="S39" s="151">
        <f t="shared" si="16"/>
        <v>0</v>
      </c>
      <c r="T39" s="140">
        <v>0</v>
      </c>
      <c r="U39" s="146">
        <f t="shared" si="17"/>
        <v>0</v>
      </c>
      <c r="V39" s="140">
        <v>0</v>
      </c>
      <c r="W39" s="140">
        <f t="shared" si="18"/>
        <v>0</v>
      </c>
      <c r="X39" s="146"/>
      <c r="Y39" s="155">
        <f t="shared" si="19"/>
        <v>0</v>
      </c>
      <c r="Z39" s="206">
        <f t="shared" si="20"/>
        <v>0</v>
      </c>
      <c r="AA39" s="149">
        <f t="shared" si="21"/>
        <v>0</v>
      </c>
      <c r="AD39" s="149" t="e">
        <f t="shared" si="13"/>
        <v>#DIV/0!</v>
      </c>
      <c r="AE39" s="149">
        <f t="shared" si="8"/>
        <v>0</v>
      </c>
      <c r="AH39" s="149" t="s">
        <v>1375</v>
      </c>
    </row>
    <row r="40" spans="1:31" ht="15">
      <c r="A40" s="221">
        <v>10949</v>
      </c>
      <c r="B40" s="221">
        <v>36</v>
      </c>
      <c r="C40" s="225"/>
      <c r="D40" s="187" t="s">
        <v>1527</v>
      </c>
      <c r="E40" s="187"/>
      <c r="F40" s="140">
        <v>1000</v>
      </c>
      <c r="G40" s="140" t="s">
        <v>450</v>
      </c>
      <c r="H40" s="142">
        <v>20</v>
      </c>
      <c r="I40" s="143">
        <v>60.5</v>
      </c>
      <c r="J40" s="143">
        <f t="shared" si="9"/>
        <v>80</v>
      </c>
      <c r="K40" s="142">
        <v>80</v>
      </c>
      <c r="L40" s="158">
        <v>30</v>
      </c>
      <c r="M40" s="142">
        <f t="shared" si="14"/>
        <v>50</v>
      </c>
      <c r="N40" s="163">
        <v>230</v>
      </c>
      <c r="O40" s="159">
        <f t="shared" si="0"/>
        <v>11500</v>
      </c>
      <c r="P40" s="140">
        <v>0</v>
      </c>
      <c r="Q40" s="140">
        <f t="shared" si="15"/>
        <v>0</v>
      </c>
      <c r="R40" s="140">
        <v>0</v>
      </c>
      <c r="S40" s="151">
        <f t="shared" si="16"/>
        <v>0</v>
      </c>
      <c r="T40" s="140">
        <v>50</v>
      </c>
      <c r="U40" s="146">
        <f t="shared" si="17"/>
        <v>11500</v>
      </c>
      <c r="V40" s="140">
        <v>0</v>
      </c>
      <c r="W40" s="140">
        <f t="shared" si="18"/>
        <v>0</v>
      </c>
      <c r="X40" s="146"/>
      <c r="Y40" s="155">
        <f t="shared" si="19"/>
        <v>0</v>
      </c>
      <c r="Z40" s="206">
        <f t="shared" si="20"/>
        <v>50</v>
      </c>
      <c r="AA40" s="149">
        <f t="shared" si="21"/>
        <v>12.5</v>
      </c>
      <c r="AB40" s="149">
        <v>60</v>
      </c>
      <c r="AC40" s="149">
        <v>13800</v>
      </c>
      <c r="AD40" s="149">
        <f t="shared" si="13"/>
        <v>230</v>
      </c>
      <c r="AE40" s="149">
        <f t="shared" si="8"/>
        <v>80</v>
      </c>
    </row>
    <row r="41" spans="1:31" ht="15">
      <c r="A41" s="221">
        <v>10949</v>
      </c>
      <c r="B41" s="221">
        <v>37</v>
      </c>
      <c r="C41" s="221"/>
      <c r="D41" s="146" t="s">
        <v>1526</v>
      </c>
      <c r="E41" s="146"/>
      <c r="F41" s="140">
        <v>1000</v>
      </c>
      <c r="G41" s="140" t="s">
        <v>450</v>
      </c>
      <c r="H41" s="142">
        <v>14</v>
      </c>
      <c r="I41" s="143">
        <v>61.5</v>
      </c>
      <c r="J41" s="143">
        <f t="shared" si="9"/>
        <v>0</v>
      </c>
      <c r="K41" s="142">
        <v>50</v>
      </c>
      <c r="L41" s="158">
        <v>0</v>
      </c>
      <c r="M41" s="142">
        <f t="shared" si="14"/>
        <v>50</v>
      </c>
      <c r="N41" s="163">
        <v>230</v>
      </c>
      <c r="O41" s="159">
        <f t="shared" si="0"/>
        <v>11500</v>
      </c>
      <c r="P41" s="140">
        <v>0</v>
      </c>
      <c r="Q41" s="140">
        <f t="shared" si="15"/>
        <v>0</v>
      </c>
      <c r="R41" s="140">
        <v>0</v>
      </c>
      <c r="S41" s="151">
        <f t="shared" si="16"/>
        <v>0</v>
      </c>
      <c r="T41" s="140">
        <v>50</v>
      </c>
      <c r="U41" s="146">
        <f t="shared" si="17"/>
        <v>11500</v>
      </c>
      <c r="V41" s="140">
        <v>0</v>
      </c>
      <c r="W41" s="140">
        <f t="shared" si="18"/>
        <v>0</v>
      </c>
      <c r="X41" s="146"/>
      <c r="Y41" s="155">
        <f t="shared" si="19"/>
        <v>0</v>
      </c>
      <c r="Z41" s="206">
        <f t="shared" si="20"/>
        <v>50</v>
      </c>
      <c r="AA41" s="149">
        <f t="shared" si="21"/>
        <v>12.5</v>
      </c>
      <c r="AD41" s="149" t="e">
        <f t="shared" si="13"/>
        <v>#DIV/0!</v>
      </c>
      <c r="AE41" s="149">
        <f t="shared" si="8"/>
        <v>0</v>
      </c>
    </row>
    <row r="42" spans="1:31" ht="15">
      <c r="A42" s="221">
        <v>10949</v>
      </c>
      <c r="B42" s="221">
        <v>38</v>
      </c>
      <c r="C42" s="225"/>
      <c r="D42" s="146" t="s">
        <v>523</v>
      </c>
      <c r="E42" s="146"/>
      <c r="F42" s="140">
        <v>1</v>
      </c>
      <c r="G42" s="140" t="s">
        <v>450</v>
      </c>
      <c r="H42" s="142">
        <v>0</v>
      </c>
      <c r="I42" s="142">
        <v>0</v>
      </c>
      <c r="J42" s="143">
        <f t="shared" si="9"/>
        <v>0</v>
      </c>
      <c r="K42" s="142">
        <v>0</v>
      </c>
      <c r="L42" s="142">
        <v>0</v>
      </c>
      <c r="M42" s="142">
        <f t="shared" si="14"/>
        <v>0</v>
      </c>
      <c r="N42" s="163">
        <v>0.18</v>
      </c>
      <c r="O42" s="159">
        <f t="shared" si="0"/>
        <v>0</v>
      </c>
      <c r="P42" s="140">
        <v>0</v>
      </c>
      <c r="Q42" s="140">
        <f t="shared" si="15"/>
        <v>0</v>
      </c>
      <c r="R42" s="140">
        <v>0</v>
      </c>
      <c r="S42" s="151">
        <f t="shared" si="16"/>
        <v>0</v>
      </c>
      <c r="T42" s="140">
        <v>0</v>
      </c>
      <c r="U42" s="146">
        <f t="shared" si="17"/>
        <v>0</v>
      </c>
      <c r="V42" s="140">
        <v>0</v>
      </c>
      <c r="W42" s="140">
        <f t="shared" si="18"/>
        <v>0</v>
      </c>
      <c r="X42" s="146"/>
      <c r="Y42" s="155">
        <f t="shared" si="19"/>
        <v>0</v>
      </c>
      <c r="Z42" s="206">
        <f t="shared" si="20"/>
        <v>0</v>
      </c>
      <c r="AA42" s="149">
        <f t="shared" si="21"/>
        <v>0</v>
      </c>
      <c r="AD42" s="149" t="e">
        <f t="shared" si="13"/>
        <v>#DIV/0!</v>
      </c>
      <c r="AE42" s="149">
        <f t="shared" si="8"/>
        <v>0</v>
      </c>
    </row>
    <row r="43" spans="1:31" ht="15">
      <c r="A43" s="221">
        <v>10949</v>
      </c>
      <c r="B43" s="221">
        <v>39</v>
      </c>
      <c r="C43" s="225"/>
      <c r="D43" s="146" t="s">
        <v>524</v>
      </c>
      <c r="E43" s="152"/>
      <c r="F43" s="327">
        <v>1</v>
      </c>
      <c r="G43" s="327" t="s">
        <v>450</v>
      </c>
      <c r="H43" s="142">
        <v>0</v>
      </c>
      <c r="I43" s="142">
        <v>0</v>
      </c>
      <c r="J43" s="143">
        <f t="shared" si="9"/>
        <v>0</v>
      </c>
      <c r="K43" s="142">
        <v>0</v>
      </c>
      <c r="L43" s="142">
        <v>0</v>
      </c>
      <c r="M43" s="142">
        <f t="shared" si="14"/>
        <v>0</v>
      </c>
      <c r="N43" s="163">
        <v>0.23</v>
      </c>
      <c r="O43" s="159">
        <f t="shared" si="0"/>
        <v>0</v>
      </c>
      <c r="P43" s="140">
        <v>0</v>
      </c>
      <c r="Q43" s="140">
        <f t="shared" si="15"/>
        <v>0</v>
      </c>
      <c r="R43" s="140">
        <v>0</v>
      </c>
      <c r="S43" s="151">
        <f t="shared" si="16"/>
        <v>0</v>
      </c>
      <c r="T43" s="140">
        <v>0</v>
      </c>
      <c r="U43" s="146">
        <f t="shared" si="17"/>
        <v>0</v>
      </c>
      <c r="V43" s="140">
        <v>0</v>
      </c>
      <c r="W43" s="140">
        <f t="shared" si="18"/>
        <v>0</v>
      </c>
      <c r="X43" s="146"/>
      <c r="Y43" s="155">
        <f t="shared" si="19"/>
        <v>0</v>
      </c>
      <c r="Z43" s="206">
        <f t="shared" si="20"/>
        <v>0</v>
      </c>
      <c r="AA43" s="149">
        <f t="shared" si="21"/>
        <v>0</v>
      </c>
      <c r="AD43" s="149" t="e">
        <f t="shared" si="13"/>
        <v>#DIV/0!</v>
      </c>
      <c r="AE43" s="149">
        <f t="shared" si="8"/>
        <v>0</v>
      </c>
    </row>
    <row r="44" spans="1:31" ht="15">
      <c r="A44" s="221">
        <v>10949</v>
      </c>
      <c r="B44" s="221">
        <v>40</v>
      </c>
      <c r="C44" s="221"/>
      <c r="D44" s="146" t="s">
        <v>525</v>
      </c>
      <c r="E44" s="146"/>
      <c r="F44" s="140">
        <v>1</v>
      </c>
      <c r="G44" s="140" t="s">
        <v>450</v>
      </c>
      <c r="H44" s="142">
        <v>0</v>
      </c>
      <c r="I44" s="142">
        <v>0</v>
      </c>
      <c r="J44" s="143">
        <f t="shared" si="9"/>
        <v>0</v>
      </c>
      <c r="K44" s="142">
        <v>0</v>
      </c>
      <c r="L44" s="142">
        <v>0</v>
      </c>
      <c r="M44" s="142">
        <f t="shared" si="14"/>
        <v>0</v>
      </c>
      <c r="N44" s="163">
        <v>0.23</v>
      </c>
      <c r="O44" s="159">
        <f t="shared" si="0"/>
        <v>0</v>
      </c>
      <c r="P44" s="140">
        <v>0</v>
      </c>
      <c r="Q44" s="140">
        <f t="shared" si="15"/>
        <v>0</v>
      </c>
      <c r="R44" s="140">
        <v>0</v>
      </c>
      <c r="S44" s="151">
        <f t="shared" si="16"/>
        <v>0</v>
      </c>
      <c r="T44" s="140">
        <v>0</v>
      </c>
      <c r="U44" s="146">
        <f t="shared" si="17"/>
        <v>0</v>
      </c>
      <c r="V44" s="140">
        <v>0</v>
      </c>
      <c r="W44" s="140">
        <f t="shared" si="18"/>
        <v>0</v>
      </c>
      <c r="X44" s="146"/>
      <c r="Y44" s="155">
        <f t="shared" si="19"/>
        <v>0</v>
      </c>
      <c r="Z44" s="206">
        <f t="shared" si="20"/>
        <v>0</v>
      </c>
      <c r="AA44" s="149">
        <f t="shared" si="21"/>
        <v>0</v>
      </c>
      <c r="AD44" s="149" t="e">
        <f t="shared" si="13"/>
        <v>#DIV/0!</v>
      </c>
      <c r="AE44" s="149">
        <f t="shared" si="8"/>
        <v>0</v>
      </c>
    </row>
    <row r="45" spans="1:31" ht="15">
      <c r="A45" s="221">
        <v>10949</v>
      </c>
      <c r="B45" s="221">
        <v>41</v>
      </c>
      <c r="C45" s="225"/>
      <c r="D45" s="187" t="s">
        <v>484</v>
      </c>
      <c r="E45" s="187"/>
      <c r="F45" s="188">
        <v>1</v>
      </c>
      <c r="G45" s="188" t="s">
        <v>552</v>
      </c>
      <c r="H45" s="142">
        <v>2</v>
      </c>
      <c r="I45" s="143">
        <v>4</v>
      </c>
      <c r="J45" s="143">
        <f t="shared" si="9"/>
        <v>0</v>
      </c>
      <c r="K45" s="142">
        <v>2</v>
      </c>
      <c r="L45" s="143">
        <v>3</v>
      </c>
      <c r="M45" s="142">
        <v>0</v>
      </c>
      <c r="N45" s="160">
        <v>500</v>
      </c>
      <c r="O45" s="159">
        <f t="shared" si="0"/>
        <v>0</v>
      </c>
      <c r="P45" s="140">
        <v>0</v>
      </c>
      <c r="Q45" s="140">
        <f t="shared" si="15"/>
        <v>0</v>
      </c>
      <c r="R45" s="140">
        <v>0</v>
      </c>
      <c r="S45" s="151">
        <f t="shared" si="16"/>
        <v>0</v>
      </c>
      <c r="T45" s="140">
        <v>0</v>
      </c>
      <c r="U45" s="146">
        <f t="shared" si="17"/>
        <v>0</v>
      </c>
      <c r="V45" s="140">
        <v>0</v>
      </c>
      <c r="W45" s="140">
        <f t="shared" si="18"/>
        <v>0</v>
      </c>
      <c r="X45" s="146"/>
      <c r="Y45" s="155">
        <f t="shared" si="19"/>
        <v>0</v>
      </c>
      <c r="Z45" s="206">
        <f t="shared" si="20"/>
        <v>0</v>
      </c>
      <c r="AA45" s="149">
        <f t="shared" si="21"/>
        <v>0</v>
      </c>
      <c r="AD45" s="149" t="e">
        <f t="shared" si="13"/>
        <v>#DIV/0!</v>
      </c>
      <c r="AE45" s="149">
        <f t="shared" si="8"/>
        <v>0</v>
      </c>
    </row>
    <row r="46" spans="1:31" ht="15">
      <c r="A46" s="221">
        <v>10949</v>
      </c>
      <c r="B46" s="221">
        <v>42</v>
      </c>
      <c r="C46" s="225"/>
      <c r="D46" s="187" t="s">
        <v>1411</v>
      </c>
      <c r="E46" s="187"/>
      <c r="F46" s="188">
        <v>1</v>
      </c>
      <c r="G46" s="188" t="s">
        <v>450</v>
      </c>
      <c r="H46" s="140">
        <v>14400</v>
      </c>
      <c r="I46" s="142">
        <f>17200+50000</f>
        <v>67200</v>
      </c>
      <c r="J46" s="143">
        <f t="shared" si="9"/>
        <v>0</v>
      </c>
      <c r="K46" s="142">
        <v>0</v>
      </c>
      <c r="L46" s="140">
        <v>30000</v>
      </c>
      <c r="M46" s="142">
        <v>0</v>
      </c>
      <c r="N46" s="163">
        <v>0.07</v>
      </c>
      <c r="O46" s="159">
        <f t="shared" si="0"/>
        <v>0</v>
      </c>
      <c r="P46" s="140">
        <v>0</v>
      </c>
      <c r="Q46" s="140">
        <f t="shared" si="15"/>
        <v>0</v>
      </c>
      <c r="R46" s="140">
        <v>0</v>
      </c>
      <c r="S46" s="151">
        <f t="shared" si="16"/>
        <v>0</v>
      </c>
      <c r="T46" s="140">
        <v>0</v>
      </c>
      <c r="U46" s="146">
        <f t="shared" si="17"/>
        <v>0</v>
      </c>
      <c r="V46" s="140">
        <v>0</v>
      </c>
      <c r="W46" s="140">
        <f t="shared" si="18"/>
        <v>0</v>
      </c>
      <c r="X46" s="146"/>
      <c r="Y46" s="155">
        <f aca="true" t="shared" si="22" ref="Y46:Y56">M46-Z46</f>
        <v>0</v>
      </c>
      <c r="Z46" s="206">
        <f aca="true" t="shared" si="23" ref="Z46:Z56">P46+R46+T46+V46</f>
        <v>0</v>
      </c>
      <c r="AA46" s="149">
        <f aca="true" t="shared" si="24" ref="AA46:AA56">M46/4</f>
        <v>0</v>
      </c>
      <c r="AD46" s="149" t="e">
        <f t="shared" si="13"/>
        <v>#DIV/0!</v>
      </c>
      <c r="AE46" s="149">
        <f t="shared" si="8"/>
        <v>0</v>
      </c>
    </row>
    <row r="47" spans="1:31" ht="15">
      <c r="A47" s="221">
        <v>10949</v>
      </c>
      <c r="B47" s="221">
        <v>43</v>
      </c>
      <c r="C47" s="225"/>
      <c r="D47" s="187" t="s">
        <v>1412</v>
      </c>
      <c r="E47" s="187"/>
      <c r="F47" s="188">
        <v>1</v>
      </c>
      <c r="G47" s="188" t="s">
        <v>450</v>
      </c>
      <c r="H47" s="140">
        <v>7200</v>
      </c>
      <c r="I47" s="142">
        <v>7200</v>
      </c>
      <c r="J47" s="143">
        <f t="shared" si="9"/>
        <v>0</v>
      </c>
      <c r="K47" s="142">
        <v>0</v>
      </c>
      <c r="L47" s="140">
        <v>0</v>
      </c>
      <c r="M47" s="142">
        <v>7200</v>
      </c>
      <c r="N47" s="163">
        <v>0.07</v>
      </c>
      <c r="O47" s="159">
        <f t="shared" si="0"/>
        <v>504.00000000000006</v>
      </c>
      <c r="P47" s="140">
        <v>0</v>
      </c>
      <c r="Q47" s="140">
        <f t="shared" si="15"/>
        <v>0</v>
      </c>
      <c r="R47" s="140">
        <v>7200</v>
      </c>
      <c r="S47" s="151">
        <f t="shared" si="16"/>
        <v>504.00000000000006</v>
      </c>
      <c r="T47" s="140">
        <v>0</v>
      </c>
      <c r="U47" s="146">
        <f t="shared" si="17"/>
        <v>0</v>
      </c>
      <c r="V47" s="140">
        <v>0</v>
      </c>
      <c r="W47" s="140">
        <f t="shared" si="18"/>
        <v>0</v>
      </c>
      <c r="X47" s="146"/>
      <c r="Y47" s="155">
        <f t="shared" si="22"/>
        <v>0</v>
      </c>
      <c r="Z47" s="206">
        <f t="shared" si="23"/>
        <v>7200</v>
      </c>
      <c r="AA47" s="149">
        <f t="shared" si="24"/>
        <v>1800</v>
      </c>
      <c r="AD47" s="149" t="e">
        <f t="shared" si="13"/>
        <v>#DIV/0!</v>
      </c>
      <c r="AE47" s="149">
        <f t="shared" si="8"/>
        <v>0</v>
      </c>
    </row>
    <row r="48" spans="1:31" ht="15">
      <c r="A48" s="221">
        <v>10949</v>
      </c>
      <c r="B48" s="221">
        <v>44</v>
      </c>
      <c r="C48" s="225"/>
      <c r="D48" s="187" t="s">
        <v>1413</v>
      </c>
      <c r="E48" s="187"/>
      <c r="F48" s="188">
        <v>1</v>
      </c>
      <c r="G48" s="188" t="s">
        <v>450</v>
      </c>
      <c r="H48" s="140">
        <v>14400</v>
      </c>
      <c r="I48" s="142">
        <f>17200+50000</f>
        <v>67200</v>
      </c>
      <c r="J48" s="143">
        <f t="shared" si="9"/>
        <v>0</v>
      </c>
      <c r="K48" s="142">
        <v>0</v>
      </c>
      <c r="L48" s="140">
        <v>30000</v>
      </c>
      <c r="M48" s="142">
        <v>0</v>
      </c>
      <c r="N48" s="163">
        <v>0.07</v>
      </c>
      <c r="O48" s="159">
        <f t="shared" si="0"/>
        <v>0</v>
      </c>
      <c r="P48" s="140">
        <v>0</v>
      </c>
      <c r="Q48" s="140">
        <f t="shared" si="15"/>
        <v>0</v>
      </c>
      <c r="R48" s="140">
        <v>0</v>
      </c>
      <c r="S48" s="151">
        <f t="shared" si="16"/>
        <v>0</v>
      </c>
      <c r="T48" s="140">
        <v>0</v>
      </c>
      <c r="U48" s="146">
        <f t="shared" si="17"/>
        <v>0</v>
      </c>
      <c r="V48" s="140">
        <v>0</v>
      </c>
      <c r="W48" s="140">
        <f t="shared" si="18"/>
        <v>0</v>
      </c>
      <c r="X48" s="146"/>
      <c r="Y48" s="155">
        <f t="shared" si="22"/>
        <v>0</v>
      </c>
      <c r="Z48" s="206">
        <f t="shared" si="23"/>
        <v>0</v>
      </c>
      <c r="AA48" s="149">
        <f t="shared" si="24"/>
        <v>0</v>
      </c>
      <c r="AD48" s="149" t="e">
        <f t="shared" si="13"/>
        <v>#DIV/0!</v>
      </c>
      <c r="AE48" s="149">
        <f t="shared" si="8"/>
        <v>0</v>
      </c>
    </row>
    <row r="49" spans="1:31" ht="15">
      <c r="A49" s="284">
        <v>10949</v>
      </c>
      <c r="B49" s="221">
        <v>45</v>
      </c>
      <c r="C49" s="328"/>
      <c r="D49" s="187" t="s">
        <v>1520</v>
      </c>
      <c r="E49" s="195"/>
      <c r="F49" s="188">
        <v>1</v>
      </c>
      <c r="G49" s="188" t="s">
        <v>450</v>
      </c>
      <c r="H49" s="140">
        <v>0</v>
      </c>
      <c r="I49" s="142">
        <v>0</v>
      </c>
      <c r="J49" s="143">
        <f t="shared" si="9"/>
        <v>0</v>
      </c>
      <c r="K49" s="142">
        <v>0</v>
      </c>
      <c r="L49" s="140">
        <v>0</v>
      </c>
      <c r="M49" s="142">
        <v>0</v>
      </c>
      <c r="N49" s="163">
        <v>0.1</v>
      </c>
      <c r="O49" s="159">
        <f t="shared" si="0"/>
        <v>0</v>
      </c>
      <c r="P49" s="140">
        <v>0</v>
      </c>
      <c r="Q49" s="140">
        <f t="shared" si="15"/>
        <v>0</v>
      </c>
      <c r="R49" s="140">
        <v>0</v>
      </c>
      <c r="S49" s="151">
        <f t="shared" si="16"/>
        <v>0</v>
      </c>
      <c r="T49" s="140">
        <v>0</v>
      </c>
      <c r="U49" s="146">
        <f t="shared" si="17"/>
        <v>0</v>
      </c>
      <c r="V49" s="140">
        <v>0</v>
      </c>
      <c r="W49" s="140">
        <f t="shared" si="18"/>
        <v>0</v>
      </c>
      <c r="X49" s="146"/>
      <c r="Y49" s="155">
        <f t="shared" si="22"/>
        <v>0</v>
      </c>
      <c r="Z49" s="206">
        <f t="shared" si="23"/>
        <v>0</v>
      </c>
      <c r="AA49" s="149">
        <f t="shared" si="24"/>
        <v>0</v>
      </c>
      <c r="AD49" s="149" t="e">
        <f t="shared" si="13"/>
        <v>#DIV/0!</v>
      </c>
      <c r="AE49" s="149">
        <f t="shared" si="8"/>
        <v>0</v>
      </c>
    </row>
    <row r="50" spans="1:31" ht="15">
      <c r="A50" s="284">
        <v>10949</v>
      </c>
      <c r="B50" s="221">
        <v>46</v>
      </c>
      <c r="C50" s="328"/>
      <c r="D50" s="187" t="s">
        <v>1521</v>
      </c>
      <c r="E50" s="195"/>
      <c r="F50" s="188">
        <v>1</v>
      </c>
      <c r="G50" s="188" t="s">
        <v>450</v>
      </c>
      <c r="H50" s="140">
        <v>0</v>
      </c>
      <c r="I50" s="142">
        <v>0</v>
      </c>
      <c r="J50" s="143">
        <f t="shared" si="9"/>
        <v>0</v>
      </c>
      <c r="K50" s="142">
        <v>0</v>
      </c>
      <c r="L50" s="140">
        <v>4000</v>
      </c>
      <c r="M50" s="142">
        <v>0</v>
      </c>
      <c r="N50" s="163">
        <v>0.1</v>
      </c>
      <c r="O50" s="159">
        <f t="shared" si="0"/>
        <v>0</v>
      </c>
      <c r="P50" s="140">
        <v>0</v>
      </c>
      <c r="Q50" s="140">
        <f t="shared" si="15"/>
        <v>0</v>
      </c>
      <c r="R50" s="140">
        <v>0</v>
      </c>
      <c r="S50" s="151">
        <f t="shared" si="16"/>
        <v>0</v>
      </c>
      <c r="T50" s="140">
        <v>0</v>
      </c>
      <c r="U50" s="146">
        <f t="shared" si="17"/>
        <v>0</v>
      </c>
      <c r="V50" s="140">
        <v>0</v>
      </c>
      <c r="W50" s="140">
        <f t="shared" si="18"/>
        <v>0</v>
      </c>
      <c r="X50" s="146"/>
      <c r="Y50" s="155">
        <f t="shared" si="22"/>
        <v>0</v>
      </c>
      <c r="Z50" s="206">
        <f t="shared" si="23"/>
        <v>0</v>
      </c>
      <c r="AA50" s="149">
        <f t="shared" si="24"/>
        <v>0</v>
      </c>
      <c r="AD50" s="149" t="e">
        <f t="shared" si="13"/>
        <v>#DIV/0!</v>
      </c>
      <c r="AE50" s="149">
        <f t="shared" si="8"/>
        <v>0</v>
      </c>
    </row>
    <row r="51" spans="1:31" ht="15">
      <c r="A51" s="284">
        <v>10949</v>
      </c>
      <c r="B51" s="221">
        <v>47</v>
      </c>
      <c r="C51" s="328"/>
      <c r="D51" s="187" t="s">
        <v>1522</v>
      </c>
      <c r="E51" s="195"/>
      <c r="F51" s="188">
        <v>1</v>
      </c>
      <c r="G51" s="188" t="s">
        <v>450</v>
      </c>
      <c r="H51" s="140">
        <v>0</v>
      </c>
      <c r="I51" s="142">
        <v>0</v>
      </c>
      <c r="J51" s="143">
        <f t="shared" si="9"/>
        <v>0</v>
      </c>
      <c r="K51" s="142">
        <v>0</v>
      </c>
      <c r="L51" s="140">
        <v>5000</v>
      </c>
      <c r="M51" s="142">
        <v>0</v>
      </c>
      <c r="N51" s="163">
        <v>0.1</v>
      </c>
      <c r="O51" s="159">
        <f t="shared" si="0"/>
        <v>0</v>
      </c>
      <c r="P51" s="140">
        <v>0</v>
      </c>
      <c r="Q51" s="140">
        <f t="shared" si="15"/>
        <v>0</v>
      </c>
      <c r="R51" s="140">
        <v>0</v>
      </c>
      <c r="S51" s="151">
        <f t="shared" si="16"/>
        <v>0</v>
      </c>
      <c r="T51" s="140">
        <v>0</v>
      </c>
      <c r="U51" s="146">
        <f t="shared" si="17"/>
        <v>0</v>
      </c>
      <c r="V51" s="140">
        <v>0</v>
      </c>
      <c r="W51" s="140">
        <f t="shared" si="18"/>
        <v>0</v>
      </c>
      <c r="X51" s="146"/>
      <c r="Y51" s="155">
        <f t="shared" si="22"/>
        <v>0</v>
      </c>
      <c r="Z51" s="206">
        <f t="shared" si="23"/>
        <v>0</v>
      </c>
      <c r="AA51" s="149">
        <f t="shared" si="24"/>
        <v>0</v>
      </c>
      <c r="AD51" s="149" t="e">
        <f t="shared" si="13"/>
        <v>#DIV/0!</v>
      </c>
      <c r="AE51" s="149">
        <f t="shared" si="8"/>
        <v>0</v>
      </c>
    </row>
    <row r="52" spans="1:31" ht="15">
      <c r="A52" s="284">
        <v>10949</v>
      </c>
      <c r="B52" s="221">
        <v>48</v>
      </c>
      <c r="C52" s="328"/>
      <c r="D52" s="187" t="s">
        <v>1523</v>
      </c>
      <c r="E52" s="195"/>
      <c r="F52" s="188">
        <v>1</v>
      </c>
      <c r="G52" s="188" t="s">
        <v>450</v>
      </c>
      <c r="H52" s="140">
        <v>0</v>
      </c>
      <c r="I52" s="142">
        <v>5000</v>
      </c>
      <c r="J52" s="143">
        <f t="shared" si="9"/>
        <v>0</v>
      </c>
      <c r="K52" s="142">
        <v>0</v>
      </c>
      <c r="L52" s="140">
        <v>10000</v>
      </c>
      <c r="M52" s="142">
        <v>0</v>
      </c>
      <c r="N52" s="163">
        <v>0.1</v>
      </c>
      <c r="O52" s="159">
        <f t="shared" si="0"/>
        <v>0</v>
      </c>
      <c r="P52" s="140">
        <v>0</v>
      </c>
      <c r="Q52" s="140">
        <f t="shared" si="15"/>
        <v>0</v>
      </c>
      <c r="R52" s="140">
        <v>0</v>
      </c>
      <c r="S52" s="151">
        <f t="shared" si="16"/>
        <v>0</v>
      </c>
      <c r="T52" s="140">
        <v>0</v>
      </c>
      <c r="U52" s="146">
        <f t="shared" si="17"/>
        <v>0</v>
      </c>
      <c r="V52" s="140">
        <v>0</v>
      </c>
      <c r="W52" s="140">
        <f t="shared" si="18"/>
        <v>0</v>
      </c>
      <c r="X52" s="146"/>
      <c r="Y52" s="155">
        <f t="shared" si="22"/>
        <v>0</v>
      </c>
      <c r="Z52" s="206">
        <f t="shared" si="23"/>
        <v>0</v>
      </c>
      <c r="AA52" s="149">
        <f t="shared" si="24"/>
        <v>0</v>
      </c>
      <c r="AD52" s="149" t="e">
        <f t="shared" si="13"/>
        <v>#DIV/0!</v>
      </c>
      <c r="AE52" s="149">
        <f t="shared" si="8"/>
        <v>0</v>
      </c>
    </row>
    <row r="53" spans="1:31" ht="15">
      <c r="A53" s="284">
        <v>10949</v>
      </c>
      <c r="B53" s="221">
        <v>49</v>
      </c>
      <c r="C53" s="328"/>
      <c r="D53" s="187" t="s">
        <v>1525</v>
      </c>
      <c r="E53" s="195"/>
      <c r="F53" s="188">
        <v>1</v>
      </c>
      <c r="G53" s="188" t="s">
        <v>450</v>
      </c>
      <c r="H53" s="140">
        <v>0</v>
      </c>
      <c r="I53" s="142">
        <v>0</v>
      </c>
      <c r="J53" s="143">
        <f t="shared" si="9"/>
        <v>0</v>
      </c>
      <c r="K53" s="142">
        <v>0</v>
      </c>
      <c r="L53" s="140">
        <v>2000</v>
      </c>
      <c r="M53" s="142">
        <v>0</v>
      </c>
      <c r="N53" s="163">
        <v>0.1</v>
      </c>
      <c r="O53" s="159">
        <f t="shared" si="0"/>
        <v>0</v>
      </c>
      <c r="P53" s="140">
        <v>0</v>
      </c>
      <c r="Q53" s="140">
        <f t="shared" si="15"/>
        <v>0</v>
      </c>
      <c r="R53" s="140">
        <v>0</v>
      </c>
      <c r="S53" s="151">
        <f t="shared" si="16"/>
        <v>0</v>
      </c>
      <c r="T53" s="140">
        <v>0</v>
      </c>
      <c r="U53" s="146">
        <f t="shared" si="17"/>
        <v>0</v>
      </c>
      <c r="V53" s="140">
        <v>0</v>
      </c>
      <c r="W53" s="140">
        <f t="shared" si="18"/>
        <v>0</v>
      </c>
      <c r="X53" s="146"/>
      <c r="Y53" s="155">
        <f t="shared" si="22"/>
        <v>0</v>
      </c>
      <c r="Z53" s="206">
        <f t="shared" si="23"/>
        <v>0</v>
      </c>
      <c r="AA53" s="149">
        <f t="shared" si="24"/>
        <v>0</v>
      </c>
      <c r="AD53" s="149" t="e">
        <f t="shared" si="13"/>
        <v>#DIV/0!</v>
      </c>
      <c r="AE53" s="149">
        <f t="shared" si="8"/>
        <v>0</v>
      </c>
    </row>
    <row r="54" spans="1:31" ht="15">
      <c r="A54" s="284">
        <v>10949</v>
      </c>
      <c r="B54" s="221">
        <v>50</v>
      </c>
      <c r="C54" s="328"/>
      <c r="D54" s="187" t="s">
        <v>1524</v>
      </c>
      <c r="E54" s="195"/>
      <c r="F54" s="188">
        <v>1</v>
      </c>
      <c r="G54" s="188" t="s">
        <v>1468</v>
      </c>
      <c r="H54" s="140">
        <v>0</v>
      </c>
      <c r="I54" s="142">
        <v>0</v>
      </c>
      <c r="J54" s="143">
        <f t="shared" si="9"/>
        <v>0</v>
      </c>
      <c r="K54" s="142">
        <v>0</v>
      </c>
      <c r="L54" s="140">
        <v>0</v>
      </c>
      <c r="M54" s="142">
        <v>0</v>
      </c>
      <c r="N54" s="163">
        <v>625</v>
      </c>
      <c r="O54" s="159">
        <f t="shared" si="0"/>
        <v>0</v>
      </c>
      <c r="P54" s="140">
        <v>0</v>
      </c>
      <c r="Q54" s="140">
        <f t="shared" si="15"/>
        <v>0</v>
      </c>
      <c r="R54" s="140">
        <v>0</v>
      </c>
      <c r="S54" s="151"/>
      <c r="T54" s="140">
        <v>0</v>
      </c>
      <c r="U54" s="146"/>
      <c r="V54" s="140">
        <v>0</v>
      </c>
      <c r="W54" s="140"/>
      <c r="X54" s="146"/>
      <c r="Y54" s="155">
        <f t="shared" si="22"/>
        <v>0</v>
      </c>
      <c r="Z54" s="206">
        <f t="shared" si="23"/>
        <v>0</v>
      </c>
      <c r="AA54" s="149">
        <f t="shared" si="24"/>
        <v>0</v>
      </c>
      <c r="AD54" s="149" t="e">
        <f t="shared" si="13"/>
        <v>#DIV/0!</v>
      </c>
      <c r="AE54" s="149">
        <f t="shared" si="8"/>
        <v>0</v>
      </c>
    </row>
    <row r="55" spans="1:31" ht="15">
      <c r="A55" s="149">
        <v>10949</v>
      </c>
      <c r="B55" s="221">
        <v>51</v>
      </c>
      <c r="D55" s="146" t="s">
        <v>1466</v>
      </c>
      <c r="F55" s="140">
        <v>1</v>
      </c>
      <c r="G55" s="140" t="s">
        <v>407</v>
      </c>
      <c r="H55" s="140">
        <v>0</v>
      </c>
      <c r="I55" s="142">
        <v>0</v>
      </c>
      <c r="J55" s="143">
        <f t="shared" si="9"/>
        <v>0</v>
      </c>
      <c r="K55" s="142">
        <v>0</v>
      </c>
      <c r="L55" s="140">
        <v>500</v>
      </c>
      <c r="M55" s="142">
        <v>0</v>
      </c>
      <c r="N55" s="163">
        <v>1.6</v>
      </c>
      <c r="O55" s="159">
        <f t="shared" si="0"/>
        <v>0</v>
      </c>
      <c r="P55" s="140">
        <v>0</v>
      </c>
      <c r="Q55" s="140">
        <f t="shared" si="15"/>
        <v>0</v>
      </c>
      <c r="R55" s="140">
        <v>0</v>
      </c>
      <c r="S55" s="146">
        <f t="shared" si="16"/>
        <v>0</v>
      </c>
      <c r="T55" s="140">
        <v>0</v>
      </c>
      <c r="U55" s="146">
        <f t="shared" si="17"/>
        <v>0</v>
      </c>
      <c r="V55" s="140">
        <v>0</v>
      </c>
      <c r="W55" s="140">
        <f t="shared" si="18"/>
        <v>0</v>
      </c>
      <c r="X55" s="146"/>
      <c r="Y55" s="155">
        <f t="shared" si="22"/>
        <v>0</v>
      </c>
      <c r="Z55" s="206">
        <f t="shared" si="23"/>
        <v>0</v>
      </c>
      <c r="AA55" s="149">
        <f t="shared" si="24"/>
        <v>0</v>
      </c>
      <c r="AD55" s="149" t="e">
        <f t="shared" si="13"/>
        <v>#DIV/0!</v>
      </c>
      <c r="AE55" s="149">
        <f t="shared" si="8"/>
        <v>0</v>
      </c>
    </row>
    <row r="56" spans="1:31" ht="15">
      <c r="A56" s="149">
        <v>10949</v>
      </c>
      <c r="B56" s="221">
        <v>52</v>
      </c>
      <c r="D56" s="146" t="s">
        <v>1467</v>
      </c>
      <c r="F56" s="140">
        <v>1</v>
      </c>
      <c r="G56" s="140" t="s">
        <v>1468</v>
      </c>
      <c r="H56" s="140">
        <v>1</v>
      </c>
      <c r="I56" s="142">
        <v>0</v>
      </c>
      <c r="J56" s="143">
        <f t="shared" si="9"/>
        <v>1.3333333333333333</v>
      </c>
      <c r="K56" s="142">
        <v>1</v>
      </c>
      <c r="L56" s="140">
        <v>0</v>
      </c>
      <c r="M56" s="142">
        <f t="shared" si="14"/>
        <v>1</v>
      </c>
      <c r="N56" s="329">
        <v>24500</v>
      </c>
      <c r="O56" s="159">
        <f t="shared" si="0"/>
        <v>24500</v>
      </c>
      <c r="P56" s="140">
        <v>0</v>
      </c>
      <c r="Q56" s="140">
        <f t="shared" si="15"/>
        <v>0</v>
      </c>
      <c r="R56" s="140">
        <v>1</v>
      </c>
      <c r="S56" s="146">
        <f t="shared" si="16"/>
        <v>24500</v>
      </c>
      <c r="T56" s="140">
        <v>0</v>
      </c>
      <c r="U56" s="146">
        <f t="shared" si="17"/>
        <v>0</v>
      </c>
      <c r="V56" s="140">
        <v>0</v>
      </c>
      <c r="W56" s="140">
        <f t="shared" si="18"/>
        <v>0</v>
      </c>
      <c r="X56" s="146"/>
      <c r="Y56" s="155">
        <f t="shared" si="22"/>
        <v>0</v>
      </c>
      <c r="Z56" s="206">
        <f t="shared" si="23"/>
        <v>1</v>
      </c>
      <c r="AA56" s="149">
        <f t="shared" si="24"/>
        <v>0.25</v>
      </c>
      <c r="AB56" s="149">
        <v>1</v>
      </c>
      <c r="AC56" s="149">
        <v>24500</v>
      </c>
      <c r="AD56" s="149">
        <f t="shared" si="13"/>
        <v>24500</v>
      </c>
      <c r="AE56" s="149">
        <f t="shared" si="8"/>
        <v>1.3333333333333333</v>
      </c>
    </row>
    <row r="57" spans="11:24" ht="15">
      <c r="K57" s="157"/>
      <c r="O57" s="329"/>
      <c r="P57" s="146"/>
      <c r="Q57" s="146"/>
      <c r="R57" s="146"/>
      <c r="S57" s="146"/>
      <c r="T57" s="140"/>
      <c r="U57" s="146"/>
      <c r="V57" s="140"/>
      <c r="W57" s="140"/>
      <c r="X57" s="146"/>
    </row>
    <row r="58" spans="13:24" ht="15">
      <c r="M58" s="330" t="s">
        <v>1288</v>
      </c>
      <c r="O58" s="332">
        <f>SUM(O3:O56)</f>
        <v>455672.8</v>
      </c>
      <c r="P58" s="145"/>
      <c r="Q58" s="145">
        <f>SUM(Q3:Q56)</f>
        <v>73400</v>
      </c>
      <c r="R58" s="145"/>
      <c r="S58" s="145">
        <f>SUM(S3:S56)</f>
        <v>139588.4</v>
      </c>
      <c r="T58" s="159"/>
      <c r="U58" s="145">
        <f>SUM(U3:U56)</f>
        <v>139700</v>
      </c>
      <c r="V58" s="159"/>
      <c r="W58" s="159">
        <f>SUM(W3:W56)</f>
        <v>102984.4</v>
      </c>
      <c r="X58" s="145"/>
    </row>
    <row r="59" ht="15"/>
    <row r="60" ht="15">
      <c r="O60" s="331"/>
    </row>
    <row r="63" spans="6:24" ht="21">
      <c r="F63" s="239"/>
      <c r="G63" s="231"/>
      <c r="H63" s="125" t="s">
        <v>1577</v>
      </c>
      <c r="I63" s="231"/>
      <c r="J63" s="231"/>
      <c r="K63" s="231"/>
      <c r="L63" s="125"/>
      <c r="M63" s="125" t="s">
        <v>1393</v>
      </c>
      <c r="N63" s="125"/>
      <c r="O63" s="231"/>
      <c r="P63" s="232"/>
      <c r="Q63" s="128" t="s">
        <v>1394</v>
      </c>
      <c r="R63" s="128"/>
      <c r="S63" s="231"/>
      <c r="T63" s="231"/>
      <c r="U63" s="128"/>
      <c r="V63" s="128" t="s">
        <v>1451</v>
      </c>
      <c r="W63" s="128"/>
      <c r="X63" s="128"/>
    </row>
    <row r="64" spans="6:24" ht="21">
      <c r="F64" s="239"/>
      <c r="G64" s="231"/>
      <c r="H64" s="125" t="s">
        <v>1578</v>
      </c>
      <c r="I64" s="231"/>
      <c r="J64" s="231"/>
      <c r="K64" s="231"/>
      <c r="L64" s="125"/>
      <c r="M64" s="125" t="s">
        <v>1395</v>
      </c>
      <c r="N64" s="125"/>
      <c r="O64" s="231"/>
      <c r="P64" s="232"/>
      <c r="Q64" s="128" t="s">
        <v>1396</v>
      </c>
      <c r="R64" s="128"/>
      <c r="S64" s="231"/>
      <c r="T64" s="231"/>
      <c r="U64" s="128"/>
      <c r="V64" s="128" t="s">
        <v>1397</v>
      </c>
      <c r="W64" s="128"/>
      <c r="X64" s="128"/>
    </row>
    <row r="65" spans="6:24" ht="21">
      <c r="F65" s="239"/>
      <c r="G65" s="231"/>
      <c r="H65" s="125" t="s">
        <v>1580</v>
      </c>
      <c r="I65" s="231"/>
      <c r="J65" s="231"/>
      <c r="K65" s="231"/>
      <c r="L65" s="125"/>
      <c r="M65" s="125" t="s">
        <v>1581</v>
      </c>
      <c r="N65" s="125"/>
      <c r="O65" s="231"/>
      <c r="P65" s="232"/>
      <c r="Q65" s="128" t="s">
        <v>1398</v>
      </c>
      <c r="R65" s="128"/>
      <c r="S65" s="231"/>
      <c r="T65" s="231"/>
      <c r="U65" s="128"/>
      <c r="V65" s="128" t="s">
        <v>1399</v>
      </c>
      <c r="W65" s="128"/>
      <c r="X65" s="128"/>
    </row>
  </sheetData>
  <sheetProtection/>
  <printOptions/>
  <pageMargins left="0.5511811023622047" right="0.1968503937007874" top="0.7874015748031497" bottom="0.7874015748031497" header="0.31496062992125984" footer="0.31496062992125984"/>
  <pageSetup horizontalDpi="300" verticalDpi="300" orientation="landscape" paperSize="5" r:id="rId3"/>
  <headerFooter alignWithMargins="0">
    <oddHeader>&amp;C&amp;"Cordia New,ตัวหนา"&amp;18แผนจัดซื้อวัสดุทั่วไป  กลุ่มงานเภสัชกรรมและคุ้มครองผู้บริโภค  โรงพยาบาลน้ำยืน  ประจำปีงบประมาณ 2565</oddHeader>
    <oddFooter>&amp;C&amp;A&amp;Rหน้าที่ &amp;ห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3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Q28" sqref="Q28"/>
    </sheetView>
  </sheetViews>
  <sheetFormatPr defaultColWidth="9.140625" defaultRowHeight="21.75"/>
  <cols>
    <col min="1" max="1" width="34.00390625" style="0" customWidth="1"/>
    <col min="2" max="2" width="8.00390625" style="0" customWidth="1"/>
    <col min="5" max="5" width="7.421875" style="0" customWidth="1"/>
    <col min="6" max="6" width="6.57421875" style="0" customWidth="1"/>
    <col min="7" max="7" width="7.00390625" style="0" customWidth="1"/>
    <col min="8" max="9" width="6.00390625" style="0" customWidth="1"/>
    <col min="10" max="10" width="11.28125" style="0" customWidth="1"/>
    <col min="11" max="11" width="11.7109375" style="0" customWidth="1"/>
    <col min="12" max="12" width="14.8515625" style="0" customWidth="1"/>
  </cols>
  <sheetData>
    <row r="1" spans="1:12" ht="21">
      <c r="A1" t="s">
        <v>1293</v>
      </c>
      <c r="B1" t="s">
        <v>1202</v>
      </c>
      <c r="C1" t="s">
        <v>3</v>
      </c>
      <c r="D1" t="s">
        <v>1286</v>
      </c>
      <c r="F1" t="s">
        <v>1205</v>
      </c>
      <c r="H1" t="s">
        <v>0</v>
      </c>
      <c r="I1" t="s">
        <v>1214</v>
      </c>
      <c r="J1" t="s">
        <v>0</v>
      </c>
      <c r="K1" t="s">
        <v>1287</v>
      </c>
      <c r="L1" t="s">
        <v>1288</v>
      </c>
    </row>
    <row r="2" spans="5:10" ht="21">
      <c r="E2">
        <v>2560</v>
      </c>
      <c r="F2">
        <v>2561</v>
      </c>
      <c r="G2">
        <v>2562</v>
      </c>
      <c r="H2" t="s">
        <v>1457</v>
      </c>
      <c r="I2" t="s">
        <v>4</v>
      </c>
      <c r="J2" t="s">
        <v>1458</v>
      </c>
    </row>
    <row r="3" spans="1:12" ht="21">
      <c r="A3" t="s">
        <v>414</v>
      </c>
      <c r="C3">
        <v>1</v>
      </c>
      <c r="D3" t="s">
        <v>1240</v>
      </c>
      <c r="E3">
        <v>2392</v>
      </c>
      <c r="F3">
        <v>3062</v>
      </c>
      <c r="G3">
        <v>3162</v>
      </c>
      <c r="H3">
        <v>3320</v>
      </c>
      <c r="I3">
        <v>920</v>
      </c>
      <c r="J3">
        <v>2400</v>
      </c>
      <c r="K3">
        <v>238.61</v>
      </c>
      <c r="L3">
        <v>572664</v>
      </c>
    </row>
    <row r="4" spans="1:12" ht="21">
      <c r="A4" s="102" t="s">
        <v>325</v>
      </c>
      <c r="C4">
        <v>1</v>
      </c>
      <c r="D4" t="s">
        <v>409</v>
      </c>
      <c r="E4">
        <v>16047</v>
      </c>
      <c r="F4">
        <v>21363</v>
      </c>
      <c r="G4">
        <v>21626.4</v>
      </c>
      <c r="H4">
        <v>22568</v>
      </c>
      <c r="I4">
        <v>1568</v>
      </c>
      <c r="J4">
        <v>21000</v>
      </c>
      <c r="K4">
        <v>8.501</v>
      </c>
      <c r="L4">
        <v>178521</v>
      </c>
    </row>
    <row r="5" spans="1:12" ht="21">
      <c r="A5" t="s">
        <v>317</v>
      </c>
      <c r="C5">
        <v>1</v>
      </c>
      <c r="D5" t="s">
        <v>1240</v>
      </c>
      <c r="E5">
        <v>4908</v>
      </c>
      <c r="F5">
        <v>4348</v>
      </c>
      <c r="G5">
        <v>4494</v>
      </c>
      <c r="H5">
        <v>4812.5</v>
      </c>
      <c r="I5">
        <v>413</v>
      </c>
      <c r="J5">
        <v>4400</v>
      </c>
      <c r="K5">
        <v>40</v>
      </c>
      <c r="L5">
        <v>176000</v>
      </c>
    </row>
    <row r="6" spans="1:12" ht="21">
      <c r="A6" s="102" t="s">
        <v>364</v>
      </c>
      <c r="C6">
        <v>1</v>
      </c>
      <c r="D6" t="s">
        <v>1240</v>
      </c>
      <c r="E6">
        <v>1102</v>
      </c>
      <c r="F6">
        <v>1128</v>
      </c>
      <c r="G6">
        <v>1126.8000000000002</v>
      </c>
      <c r="H6">
        <v>1174.88</v>
      </c>
      <c r="I6">
        <v>75</v>
      </c>
      <c r="J6">
        <v>1100</v>
      </c>
      <c r="K6">
        <v>112.6274866879659</v>
      </c>
      <c r="L6">
        <v>123890.23535676248</v>
      </c>
    </row>
    <row r="7" spans="1:12" ht="21">
      <c r="A7" s="102" t="s">
        <v>322</v>
      </c>
      <c r="C7">
        <v>1</v>
      </c>
      <c r="D7" t="s">
        <v>1240</v>
      </c>
      <c r="E7">
        <v>1393</v>
      </c>
      <c r="F7">
        <v>1348</v>
      </c>
      <c r="G7">
        <v>1162.8000000000002</v>
      </c>
      <c r="H7">
        <v>1366.3300000000002</v>
      </c>
      <c r="I7">
        <v>166</v>
      </c>
      <c r="J7">
        <v>1200</v>
      </c>
      <c r="K7">
        <v>90</v>
      </c>
      <c r="L7">
        <v>108000</v>
      </c>
    </row>
    <row r="8" spans="1:12" ht="21">
      <c r="A8" s="102" t="s">
        <v>371</v>
      </c>
      <c r="C8">
        <v>1</v>
      </c>
      <c r="D8" t="s">
        <v>411</v>
      </c>
      <c r="E8">
        <v>871</v>
      </c>
      <c r="F8">
        <v>942</v>
      </c>
      <c r="G8">
        <v>975.5999999999999</v>
      </c>
      <c r="H8">
        <v>1005</v>
      </c>
      <c r="I8">
        <v>3</v>
      </c>
      <c r="J8">
        <v>1002</v>
      </c>
      <c r="K8">
        <v>99.8666</v>
      </c>
      <c r="L8">
        <v>100066.33320000001</v>
      </c>
    </row>
    <row r="9" spans="1:12" ht="21">
      <c r="A9" s="102" t="s">
        <v>328</v>
      </c>
      <c r="C9">
        <v>1</v>
      </c>
      <c r="D9" t="s">
        <v>409</v>
      </c>
      <c r="E9">
        <v>8824</v>
      </c>
      <c r="F9">
        <v>10785</v>
      </c>
      <c r="G9">
        <v>11192.400000000001</v>
      </c>
      <c r="H9">
        <v>11537</v>
      </c>
      <c r="I9">
        <v>1537</v>
      </c>
      <c r="J9">
        <v>10000</v>
      </c>
      <c r="K9">
        <v>8.9452</v>
      </c>
      <c r="L9">
        <v>89452</v>
      </c>
    </row>
    <row r="10" spans="1:12" ht="21">
      <c r="A10" s="102" t="s">
        <v>323</v>
      </c>
      <c r="C10">
        <v>1</v>
      </c>
      <c r="D10" t="s">
        <v>1242</v>
      </c>
      <c r="E10">
        <v>7575</v>
      </c>
      <c r="F10">
        <v>6092</v>
      </c>
      <c r="G10">
        <v>4506</v>
      </c>
      <c r="H10">
        <v>6360.55</v>
      </c>
      <c r="I10">
        <v>1361</v>
      </c>
      <c r="J10">
        <v>5000</v>
      </c>
      <c r="K10">
        <v>17.2</v>
      </c>
      <c r="L10">
        <v>86000</v>
      </c>
    </row>
    <row r="11" spans="1:12" ht="21">
      <c r="A11" s="102" t="s">
        <v>321</v>
      </c>
      <c r="C11">
        <v>1</v>
      </c>
      <c r="D11" t="s">
        <v>1240</v>
      </c>
      <c r="E11">
        <v>703</v>
      </c>
      <c r="F11">
        <v>775</v>
      </c>
      <c r="G11">
        <v>939.5999999999999</v>
      </c>
      <c r="H11">
        <v>1034</v>
      </c>
      <c r="I11">
        <v>134</v>
      </c>
      <c r="J11">
        <v>900</v>
      </c>
      <c r="K11">
        <v>90</v>
      </c>
      <c r="L11">
        <v>81000</v>
      </c>
    </row>
    <row r="12" spans="1:12" ht="21">
      <c r="A12" s="25" t="s">
        <v>543</v>
      </c>
      <c r="C12">
        <v>1</v>
      </c>
      <c r="D12" t="s">
        <v>1241</v>
      </c>
      <c r="E12">
        <v>5</v>
      </c>
      <c r="F12">
        <v>0</v>
      </c>
      <c r="G12">
        <v>0</v>
      </c>
      <c r="H12">
        <v>1000</v>
      </c>
      <c r="I12">
        <v>0</v>
      </c>
      <c r="J12">
        <v>1000</v>
      </c>
      <c r="K12">
        <v>80</v>
      </c>
      <c r="L12">
        <v>80000</v>
      </c>
    </row>
    <row r="13" spans="1:12" ht="21">
      <c r="A13" s="102" t="s">
        <v>427</v>
      </c>
      <c r="C13">
        <v>1</v>
      </c>
      <c r="D13" t="s">
        <v>1242</v>
      </c>
      <c r="E13">
        <v>3163</v>
      </c>
      <c r="F13">
        <v>2687</v>
      </c>
      <c r="G13">
        <v>3672</v>
      </c>
      <c r="H13">
        <v>3854</v>
      </c>
      <c r="I13">
        <v>54</v>
      </c>
      <c r="J13">
        <v>3800</v>
      </c>
      <c r="K13">
        <v>17.2</v>
      </c>
      <c r="L13">
        <v>65360</v>
      </c>
    </row>
    <row r="14" spans="1:12" ht="21">
      <c r="A14" s="102" t="s">
        <v>267</v>
      </c>
      <c r="C14">
        <v>50</v>
      </c>
      <c r="D14" t="s">
        <v>412</v>
      </c>
      <c r="E14">
        <v>1623</v>
      </c>
      <c r="F14">
        <v>1706</v>
      </c>
      <c r="G14">
        <v>1782</v>
      </c>
      <c r="H14">
        <v>1831</v>
      </c>
      <c r="I14">
        <v>231</v>
      </c>
      <c r="J14">
        <v>1600</v>
      </c>
      <c r="K14">
        <v>40</v>
      </c>
      <c r="L14">
        <v>64000</v>
      </c>
    </row>
    <row r="15" spans="1:12" ht="21">
      <c r="A15" s="102" t="s">
        <v>329</v>
      </c>
      <c r="C15">
        <v>1</v>
      </c>
      <c r="D15" t="s">
        <v>409</v>
      </c>
      <c r="E15">
        <v>7064</v>
      </c>
      <c r="F15">
        <v>8216</v>
      </c>
      <c r="G15">
        <v>6908.400000000001</v>
      </c>
      <c r="H15">
        <v>7765.940000000001</v>
      </c>
      <c r="I15">
        <v>1766</v>
      </c>
      <c r="J15">
        <v>6000</v>
      </c>
      <c r="K15">
        <v>8.9452</v>
      </c>
      <c r="L15">
        <v>53671.2</v>
      </c>
    </row>
    <row r="16" spans="1:12" ht="21">
      <c r="A16" s="102" t="s">
        <v>365</v>
      </c>
      <c r="C16">
        <v>1</v>
      </c>
      <c r="D16" t="s">
        <v>1240</v>
      </c>
      <c r="E16">
        <v>394</v>
      </c>
      <c r="F16">
        <v>501</v>
      </c>
      <c r="G16">
        <v>393.59999999999997</v>
      </c>
      <c r="H16">
        <v>451.01</v>
      </c>
      <c r="I16">
        <v>51</v>
      </c>
      <c r="J16">
        <v>400</v>
      </c>
      <c r="K16">
        <v>126.8617682926831</v>
      </c>
      <c r="L16">
        <v>50744.70731707324</v>
      </c>
    </row>
    <row r="17" spans="1:12" ht="21">
      <c r="A17" s="102" t="s">
        <v>1410</v>
      </c>
      <c r="C17">
        <v>1</v>
      </c>
      <c r="D17" t="s">
        <v>1241</v>
      </c>
      <c r="E17">
        <v>10920</v>
      </c>
      <c r="F17">
        <v>14440</v>
      </c>
      <c r="G17">
        <v>14304</v>
      </c>
      <c r="H17">
        <v>15090</v>
      </c>
      <c r="I17">
        <v>3090</v>
      </c>
      <c r="J17">
        <v>12000</v>
      </c>
      <c r="K17">
        <v>4</v>
      </c>
      <c r="L17">
        <v>48000</v>
      </c>
    </row>
    <row r="18" spans="1:12" ht="21">
      <c r="A18" t="s">
        <v>426</v>
      </c>
      <c r="C18">
        <v>1</v>
      </c>
      <c r="D18" t="s">
        <v>1240</v>
      </c>
      <c r="E18">
        <v>426</v>
      </c>
      <c r="F18">
        <v>482</v>
      </c>
      <c r="G18">
        <v>536.4000000000001</v>
      </c>
      <c r="H18">
        <v>562</v>
      </c>
      <c r="I18">
        <v>62</v>
      </c>
      <c r="J18">
        <v>500</v>
      </c>
      <c r="K18">
        <v>90</v>
      </c>
      <c r="L18">
        <v>45000</v>
      </c>
    </row>
    <row r="19" spans="1:12" ht="21">
      <c r="A19" t="s">
        <v>342</v>
      </c>
      <c r="C19">
        <v>1</v>
      </c>
      <c r="D19" t="s">
        <v>1240</v>
      </c>
      <c r="E19">
        <v>653</v>
      </c>
      <c r="F19">
        <v>718</v>
      </c>
      <c r="G19">
        <v>855.5999999999999</v>
      </c>
      <c r="H19">
        <v>900</v>
      </c>
      <c r="I19">
        <v>100</v>
      </c>
      <c r="J19">
        <v>800</v>
      </c>
      <c r="K19">
        <v>53.5</v>
      </c>
      <c r="L19">
        <v>42800</v>
      </c>
    </row>
    <row r="20" spans="1:12" ht="21">
      <c r="A20" t="s">
        <v>1425</v>
      </c>
      <c r="C20">
        <v>1</v>
      </c>
      <c r="D20" t="s">
        <v>1240</v>
      </c>
      <c r="E20">
        <v>2120</v>
      </c>
      <c r="F20">
        <v>2712</v>
      </c>
      <c r="G20">
        <v>1454.4</v>
      </c>
      <c r="H20">
        <v>2200.2400000000002</v>
      </c>
      <c r="I20">
        <v>200</v>
      </c>
      <c r="J20">
        <v>2000</v>
      </c>
      <c r="K20">
        <v>20</v>
      </c>
      <c r="L20">
        <v>40000</v>
      </c>
    </row>
    <row r="21" spans="1:12" ht="21">
      <c r="A21" s="102" t="s">
        <v>434</v>
      </c>
      <c r="C21">
        <v>1</v>
      </c>
      <c r="D21" t="s">
        <v>1240</v>
      </c>
      <c r="E21">
        <v>191</v>
      </c>
      <c r="F21">
        <v>239</v>
      </c>
      <c r="G21">
        <v>205.20000000000002</v>
      </c>
      <c r="H21">
        <v>222.32000000000002</v>
      </c>
      <c r="I21">
        <v>22</v>
      </c>
      <c r="J21">
        <v>200</v>
      </c>
      <c r="K21">
        <v>192.43602339181294</v>
      </c>
      <c r="L21">
        <v>38487.204678362585</v>
      </c>
    </row>
    <row r="22" spans="1:12" ht="21">
      <c r="A22" t="s">
        <v>1424</v>
      </c>
      <c r="C22">
        <v>1</v>
      </c>
      <c r="D22" t="s">
        <v>1241</v>
      </c>
      <c r="E22">
        <v>4000</v>
      </c>
      <c r="F22">
        <v>2420</v>
      </c>
      <c r="G22">
        <v>4896</v>
      </c>
      <c r="H22">
        <v>5140</v>
      </c>
      <c r="I22">
        <v>340</v>
      </c>
      <c r="J22">
        <v>4800</v>
      </c>
      <c r="K22">
        <v>8</v>
      </c>
      <c r="L22">
        <v>38400</v>
      </c>
    </row>
    <row r="23" spans="1:12" ht="21">
      <c r="A23" t="s">
        <v>454</v>
      </c>
      <c r="C23">
        <v>50</v>
      </c>
      <c r="D23" t="s">
        <v>1348</v>
      </c>
      <c r="E23">
        <v>9</v>
      </c>
      <c r="F23">
        <v>12</v>
      </c>
      <c r="G23">
        <v>19.200000000000003</v>
      </c>
      <c r="H23">
        <v>20</v>
      </c>
      <c r="I23">
        <v>5</v>
      </c>
      <c r="J23">
        <v>15</v>
      </c>
      <c r="K23">
        <v>2500</v>
      </c>
      <c r="L23">
        <v>37500</v>
      </c>
    </row>
    <row r="24" spans="1:12" ht="21">
      <c r="A24" s="102" t="s">
        <v>1346</v>
      </c>
      <c r="C24">
        <v>1</v>
      </c>
      <c r="D24" t="s">
        <v>1241</v>
      </c>
      <c r="E24">
        <v>296</v>
      </c>
      <c r="F24">
        <v>260</v>
      </c>
      <c r="G24">
        <v>306</v>
      </c>
      <c r="H24">
        <v>301.7</v>
      </c>
      <c r="I24">
        <v>62</v>
      </c>
      <c r="J24">
        <v>240</v>
      </c>
      <c r="K24">
        <v>150</v>
      </c>
      <c r="L24">
        <v>36000</v>
      </c>
    </row>
    <row r="25" spans="1:12" ht="21">
      <c r="A25" t="s">
        <v>363</v>
      </c>
      <c r="C25">
        <v>1</v>
      </c>
      <c r="D25" t="s">
        <v>411</v>
      </c>
      <c r="E25">
        <v>5</v>
      </c>
      <c r="F25">
        <v>8</v>
      </c>
      <c r="G25">
        <v>9.600000000000001</v>
      </c>
      <c r="H25">
        <v>10</v>
      </c>
      <c r="I25">
        <v>2</v>
      </c>
      <c r="J25">
        <v>8</v>
      </c>
      <c r="K25">
        <v>4305.68</v>
      </c>
      <c r="L25">
        <v>34445.44</v>
      </c>
    </row>
    <row r="26" spans="1:12" ht="21">
      <c r="A26" t="s">
        <v>324</v>
      </c>
      <c r="C26">
        <v>1</v>
      </c>
      <c r="D26" t="s">
        <v>409</v>
      </c>
      <c r="E26">
        <v>1716</v>
      </c>
      <c r="F26">
        <v>1774</v>
      </c>
      <c r="G26">
        <v>2136</v>
      </c>
      <c r="H26">
        <v>2250</v>
      </c>
      <c r="I26">
        <v>150</v>
      </c>
      <c r="J26">
        <v>2100</v>
      </c>
      <c r="K26">
        <v>16.16</v>
      </c>
      <c r="L26">
        <v>33936</v>
      </c>
    </row>
    <row r="27" spans="1:12" ht="21">
      <c r="A27" t="s">
        <v>297</v>
      </c>
      <c r="C27">
        <v>1</v>
      </c>
      <c r="D27" t="s">
        <v>409</v>
      </c>
      <c r="E27">
        <v>840</v>
      </c>
      <c r="F27">
        <v>840</v>
      </c>
      <c r="G27">
        <v>446.40000000000003</v>
      </c>
      <c r="H27">
        <v>744.2400000000001</v>
      </c>
      <c r="I27">
        <v>204</v>
      </c>
      <c r="J27">
        <v>540</v>
      </c>
      <c r="K27">
        <v>62.5</v>
      </c>
      <c r="L27">
        <v>33750</v>
      </c>
    </row>
    <row r="28" spans="1:12" ht="21">
      <c r="A28" t="s">
        <v>234</v>
      </c>
      <c r="C28">
        <v>1</v>
      </c>
      <c r="D28" t="s">
        <v>410</v>
      </c>
      <c r="E28">
        <v>17</v>
      </c>
      <c r="F28">
        <v>12</v>
      </c>
      <c r="G28">
        <v>26.400000000000002</v>
      </c>
      <c r="H28">
        <v>19.390000000000004</v>
      </c>
      <c r="I28">
        <v>9</v>
      </c>
      <c r="J28">
        <v>10</v>
      </c>
      <c r="K28">
        <v>3370.5</v>
      </c>
      <c r="L28">
        <v>33705</v>
      </c>
    </row>
    <row r="29" spans="1:12" ht="21">
      <c r="A29" t="s">
        <v>515</v>
      </c>
      <c r="C29">
        <v>1</v>
      </c>
      <c r="D29" t="s">
        <v>411</v>
      </c>
      <c r="E29">
        <v>6</v>
      </c>
      <c r="F29">
        <v>7</v>
      </c>
      <c r="G29">
        <v>9.600000000000001</v>
      </c>
      <c r="H29">
        <v>10</v>
      </c>
      <c r="I29">
        <v>0</v>
      </c>
      <c r="J29">
        <v>10</v>
      </c>
      <c r="K29">
        <v>3342.68</v>
      </c>
      <c r="L29">
        <v>33426.799999999996</v>
      </c>
    </row>
    <row r="30" spans="1:12" ht="21">
      <c r="A30" t="s">
        <v>1460</v>
      </c>
      <c r="D30" t="s">
        <v>1241</v>
      </c>
      <c r="E30">
        <v>0</v>
      </c>
      <c r="F30">
        <v>700</v>
      </c>
      <c r="G30">
        <v>7020</v>
      </c>
      <c r="H30">
        <v>7722</v>
      </c>
      <c r="I30">
        <v>1722</v>
      </c>
      <c r="J30">
        <v>6000</v>
      </c>
      <c r="K30">
        <v>5.5</v>
      </c>
      <c r="L30">
        <v>33000</v>
      </c>
    </row>
    <row r="31" spans="1:12" ht="21">
      <c r="A31" t="s">
        <v>341</v>
      </c>
      <c r="C31">
        <v>1</v>
      </c>
      <c r="D31" t="s">
        <v>1240</v>
      </c>
      <c r="E31">
        <v>631</v>
      </c>
      <c r="F31">
        <v>678</v>
      </c>
      <c r="G31">
        <v>648</v>
      </c>
      <c r="H31">
        <v>684.95</v>
      </c>
      <c r="I31">
        <v>85</v>
      </c>
      <c r="J31">
        <v>600</v>
      </c>
      <c r="K31">
        <v>53.5</v>
      </c>
      <c r="L31">
        <v>32100</v>
      </c>
    </row>
    <row r="32" spans="1:12" ht="21">
      <c r="A32" t="s">
        <v>1420</v>
      </c>
      <c r="C32">
        <v>1</v>
      </c>
      <c r="D32" t="s">
        <v>1237</v>
      </c>
      <c r="E32">
        <v>551</v>
      </c>
      <c r="F32">
        <v>617</v>
      </c>
      <c r="G32">
        <v>578.4000000000001</v>
      </c>
      <c r="H32">
        <v>611.24</v>
      </c>
      <c r="I32">
        <v>211</v>
      </c>
      <c r="J32">
        <v>400</v>
      </c>
      <c r="K32">
        <v>80</v>
      </c>
      <c r="L32">
        <v>32000</v>
      </c>
    </row>
    <row r="33" spans="1:12" ht="21">
      <c r="A33" s="102" t="s">
        <v>453</v>
      </c>
      <c r="C33">
        <v>1</v>
      </c>
      <c r="D33" t="s">
        <v>407</v>
      </c>
      <c r="E33">
        <v>2350</v>
      </c>
      <c r="F33">
        <v>2710</v>
      </c>
      <c r="G33">
        <v>2832</v>
      </c>
      <c r="H33">
        <v>2909</v>
      </c>
      <c r="I33">
        <v>509</v>
      </c>
      <c r="J33">
        <v>2400</v>
      </c>
      <c r="K33">
        <v>12.84</v>
      </c>
      <c r="L33">
        <v>30816</v>
      </c>
    </row>
    <row r="34" spans="1:12" ht="21">
      <c r="A34" t="s">
        <v>288</v>
      </c>
      <c r="C34">
        <v>1</v>
      </c>
      <c r="D34" t="s">
        <v>407</v>
      </c>
      <c r="E34">
        <v>654</v>
      </c>
      <c r="F34">
        <v>581</v>
      </c>
      <c r="G34">
        <v>342</v>
      </c>
      <c r="H34">
        <v>551.9499999999999</v>
      </c>
      <c r="I34">
        <v>72</v>
      </c>
      <c r="J34">
        <v>480</v>
      </c>
      <c r="K34">
        <v>60</v>
      </c>
      <c r="L34">
        <v>28800</v>
      </c>
    </row>
    <row r="35" spans="1:12" ht="21">
      <c r="A35" t="s">
        <v>1378</v>
      </c>
      <c r="C35">
        <v>1</v>
      </c>
      <c r="D35" t="s">
        <v>409</v>
      </c>
      <c r="E35">
        <v>750</v>
      </c>
      <c r="F35">
        <v>1012</v>
      </c>
      <c r="G35">
        <v>1147.1999999999998</v>
      </c>
      <c r="H35">
        <v>1204</v>
      </c>
      <c r="I35">
        <v>88</v>
      </c>
      <c r="J35">
        <v>1116</v>
      </c>
      <c r="K35">
        <v>25.76916317991631</v>
      </c>
      <c r="L35">
        <v>28758.3861087866</v>
      </c>
    </row>
    <row r="36" spans="1:12" ht="21">
      <c r="A36" t="s">
        <v>327</v>
      </c>
      <c r="C36">
        <v>1</v>
      </c>
      <c r="D36" t="s">
        <v>409</v>
      </c>
      <c r="E36">
        <v>2250</v>
      </c>
      <c r="F36">
        <v>3105</v>
      </c>
      <c r="G36">
        <v>3384</v>
      </c>
      <c r="H36">
        <v>3406</v>
      </c>
      <c r="I36">
        <v>406</v>
      </c>
      <c r="J36">
        <v>3000</v>
      </c>
      <c r="K36">
        <v>8.9452</v>
      </c>
      <c r="L36">
        <v>26835.6</v>
      </c>
    </row>
    <row r="37" spans="1:12" ht="21">
      <c r="A37" t="s">
        <v>237</v>
      </c>
      <c r="C37">
        <v>1</v>
      </c>
      <c r="D37" t="s">
        <v>410</v>
      </c>
      <c r="E37">
        <v>21</v>
      </c>
      <c r="F37">
        <v>19</v>
      </c>
      <c r="G37">
        <v>21.6</v>
      </c>
      <c r="H37">
        <v>21.560000000000002</v>
      </c>
      <c r="I37">
        <v>8</v>
      </c>
      <c r="J37">
        <v>14</v>
      </c>
      <c r="K37">
        <v>1872.5</v>
      </c>
      <c r="L37">
        <v>26215</v>
      </c>
    </row>
    <row r="38" spans="1:12" ht="21">
      <c r="A38" t="s">
        <v>344</v>
      </c>
      <c r="C38">
        <v>1</v>
      </c>
      <c r="D38" t="s">
        <v>1240</v>
      </c>
      <c r="E38">
        <v>534</v>
      </c>
      <c r="F38">
        <v>492</v>
      </c>
      <c r="G38">
        <v>439.20000000000005</v>
      </c>
      <c r="H38">
        <v>512.82</v>
      </c>
      <c r="I38">
        <v>33</v>
      </c>
      <c r="J38">
        <v>480</v>
      </c>
      <c r="K38">
        <v>53.5</v>
      </c>
      <c r="L38">
        <v>25680</v>
      </c>
    </row>
    <row r="39" spans="1:12" ht="21">
      <c r="A39" t="s">
        <v>266</v>
      </c>
      <c r="C39">
        <v>1</v>
      </c>
      <c r="D39" t="s">
        <v>407</v>
      </c>
      <c r="E39">
        <v>7209</v>
      </c>
      <c r="F39">
        <v>8040</v>
      </c>
      <c r="G39">
        <v>7836</v>
      </c>
      <c r="H39">
        <v>8079.75</v>
      </c>
      <c r="I39">
        <v>1080</v>
      </c>
      <c r="J39">
        <v>7000</v>
      </c>
      <c r="K39">
        <v>3.5</v>
      </c>
      <c r="L39">
        <v>24500</v>
      </c>
    </row>
    <row r="40" spans="1:12" ht="21">
      <c r="A40" t="s">
        <v>313</v>
      </c>
      <c r="C40">
        <v>1</v>
      </c>
      <c r="D40" t="s">
        <v>1239</v>
      </c>
      <c r="E40">
        <v>1336</v>
      </c>
      <c r="F40">
        <v>1270</v>
      </c>
      <c r="G40">
        <v>1293.6</v>
      </c>
      <c r="H40">
        <v>1364.86</v>
      </c>
      <c r="I40">
        <v>365</v>
      </c>
      <c r="J40">
        <v>1000</v>
      </c>
      <c r="K40">
        <v>23</v>
      </c>
      <c r="L40">
        <v>23000</v>
      </c>
    </row>
    <row r="41" spans="1:12" ht="21">
      <c r="A41" t="s">
        <v>1430</v>
      </c>
      <c r="C41">
        <v>1</v>
      </c>
      <c r="D41" t="s">
        <v>409</v>
      </c>
      <c r="E41">
        <v>0</v>
      </c>
      <c r="F41">
        <v>0</v>
      </c>
      <c r="G41">
        <v>0</v>
      </c>
      <c r="H41">
        <v>6000</v>
      </c>
      <c r="I41">
        <v>2000</v>
      </c>
      <c r="J41">
        <v>4000</v>
      </c>
      <c r="K41">
        <v>5.5</v>
      </c>
      <c r="L41">
        <v>22000</v>
      </c>
    </row>
    <row r="42" spans="1:12" ht="21">
      <c r="A42" t="s">
        <v>308</v>
      </c>
      <c r="C42">
        <v>1</v>
      </c>
      <c r="D42" t="s">
        <v>411</v>
      </c>
      <c r="E42">
        <v>764</v>
      </c>
      <c r="F42">
        <v>701</v>
      </c>
      <c r="G42">
        <v>777.5999999999999</v>
      </c>
      <c r="H42">
        <v>784.91</v>
      </c>
      <c r="I42">
        <v>65</v>
      </c>
      <c r="J42">
        <v>720</v>
      </c>
      <c r="K42">
        <v>30</v>
      </c>
      <c r="L42">
        <v>21600</v>
      </c>
    </row>
    <row r="43" spans="1:12" ht="21">
      <c r="A43" s="102" t="s">
        <v>431</v>
      </c>
      <c r="C43">
        <v>1</v>
      </c>
      <c r="D43" t="s">
        <v>411</v>
      </c>
      <c r="E43">
        <v>80</v>
      </c>
      <c r="F43">
        <v>57</v>
      </c>
      <c r="G43">
        <v>116.39999999999999</v>
      </c>
      <c r="H43">
        <v>88.69</v>
      </c>
      <c r="I43">
        <v>11</v>
      </c>
      <c r="J43">
        <v>78</v>
      </c>
      <c r="K43">
        <v>274.14927835051543</v>
      </c>
      <c r="L43">
        <v>21383.643711340203</v>
      </c>
    </row>
    <row r="44" spans="1:12" ht="21">
      <c r="A44" t="s">
        <v>1379</v>
      </c>
      <c r="C44">
        <v>1</v>
      </c>
      <c r="D44" t="s">
        <v>409</v>
      </c>
      <c r="E44">
        <v>654</v>
      </c>
      <c r="F44">
        <v>697</v>
      </c>
      <c r="G44">
        <v>762</v>
      </c>
      <c r="H44">
        <v>800</v>
      </c>
      <c r="I44">
        <v>80</v>
      </c>
      <c r="J44">
        <v>720</v>
      </c>
      <c r="K44">
        <v>26.660803149606295</v>
      </c>
      <c r="L44">
        <v>19195.77826771653</v>
      </c>
    </row>
    <row r="45" spans="1:12" ht="21">
      <c r="A45" s="102" t="s">
        <v>372</v>
      </c>
      <c r="C45">
        <v>1</v>
      </c>
      <c r="D45" t="s">
        <v>1237</v>
      </c>
      <c r="E45">
        <v>1149</v>
      </c>
      <c r="F45">
        <v>1075</v>
      </c>
      <c r="G45">
        <v>1160.4</v>
      </c>
      <c r="H45">
        <v>1200</v>
      </c>
      <c r="I45">
        <v>0</v>
      </c>
      <c r="J45">
        <v>1200</v>
      </c>
      <c r="K45">
        <v>15</v>
      </c>
      <c r="L45">
        <v>18000</v>
      </c>
    </row>
    <row r="46" spans="1:12" ht="21">
      <c r="A46" t="s">
        <v>307</v>
      </c>
      <c r="C46">
        <v>1</v>
      </c>
      <c r="D46" t="s">
        <v>411</v>
      </c>
      <c r="E46">
        <v>894</v>
      </c>
      <c r="F46">
        <v>902</v>
      </c>
      <c r="G46">
        <v>906</v>
      </c>
      <c r="H46">
        <v>945.7</v>
      </c>
      <c r="I46">
        <v>106</v>
      </c>
      <c r="J46">
        <v>840</v>
      </c>
      <c r="K46">
        <v>20</v>
      </c>
      <c r="L46">
        <v>16800</v>
      </c>
    </row>
    <row r="47" spans="1:12" ht="21">
      <c r="A47" s="102" t="s">
        <v>265</v>
      </c>
      <c r="C47">
        <v>1</v>
      </c>
      <c r="D47" t="s">
        <v>1239</v>
      </c>
      <c r="E47">
        <v>3112</v>
      </c>
      <c r="F47">
        <v>3408</v>
      </c>
      <c r="G47">
        <v>4632</v>
      </c>
      <c r="H47">
        <v>5095</v>
      </c>
      <c r="I47">
        <v>95</v>
      </c>
      <c r="J47">
        <v>5000</v>
      </c>
      <c r="K47">
        <v>3.2</v>
      </c>
      <c r="L47">
        <v>16000</v>
      </c>
    </row>
    <row r="48" spans="1:12" ht="21">
      <c r="A48" s="102" t="s">
        <v>435</v>
      </c>
      <c r="C48">
        <v>1</v>
      </c>
      <c r="D48" t="s">
        <v>407</v>
      </c>
      <c r="E48">
        <v>4500</v>
      </c>
      <c r="F48">
        <v>4850</v>
      </c>
      <c r="G48">
        <v>4500</v>
      </c>
      <c r="H48">
        <v>4847.500000000001</v>
      </c>
      <c r="I48">
        <v>848</v>
      </c>
      <c r="J48">
        <v>4000</v>
      </c>
      <c r="K48">
        <v>3.852000000000004</v>
      </c>
      <c r="L48">
        <v>15408.000000000015</v>
      </c>
    </row>
    <row r="49" spans="1:12" ht="21">
      <c r="A49" s="102" t="s">
        <v>428</v>
      </c>
      <c r="C49">
        <v>1</v>
      </c>
      <c r="D49" t="s">
        <v>1242</v>
      </c>
      <c r="E49">
        <v>250</v>
      </c>
      <c r="F49">
        <v>450</v>
      </c>
      <c r="G49">
        <v>720</v>
      </c>
      <c r="H49">
        <v>800</v>
      </c>
      <c r="I49">
        <v>0</v>
      </c>
      <c r="J49">
        <v>800</v>
      </c>
      <c r="K49">
        <v>17.2</v>
      </c>
      <c r="L49">
        <v>13760</v>
      </c>
    </row>
    <row r="50" spans="1:12" ht="21">
      <c r="A50" t="s">
        <v>235</v>
      </c>
      <c r="C50">
        <v>1</v>
      </c>
      <c r="D50" t="s">
        <v>411</v>
      </c>
      <c r="E50">
        <v>82</v>
      </c>
      <c r="F50">
        <v>78</v>
      </c>
      <c r="G50">
        <v>74.4</v>
      </c>
      <c r="H50">
        <v>82.04</v>
      </c>
      <c r="I50">
        <v>22</v>
      </c>
      <c r="J50">
        <v>60</v>
      </c>
      <c r="K50">
        <v>221.49</v>
      </c>
      <c r="L50">
        <v>13289.400000000001</v>
      </c>
    </row>
    <row r="51" spans="1:12" ht="21">
      <c r="A51" t="s">
        <v>1490</v>
      </c>
      <c r="C51">
        <v>1</v>
      </c>
      <c r="D51" t="s">
        <v>409</v>
      </c>
      <c r="E51">
        <v>0</v>
      </c>
      <c r="F51">
        <v>0</v>
      </c>
      <c r="G51">
        <v>0</v>
      </c>
      <c r="H51">
        <v>800</v>
      </c>
      <c r="I51">
        <v>0</v>
      </c>
      <c r="J51">
        <v>800</v>
      </c>
      <c r="K51">
        <v>15</v>
      </c>
      <c r="L51">
        <v>12000</v>
      </c>
    </row>
    <row r="52" spans="1:12" ht="21">
      <c r="A52" t="s">
        <v>350</v>
      </c>
      <c r="C52">
        <v>1</v>
      </c>
      <c r="D52" t="s">
        <v>411</v>
      </c>
      <c r="E52">
        <v>1740</v>
      </c>
      <c r="F52">
        <v>2028</v>
      </c>
      <c r="G52">
        <v>2606.3999999999996</v>
      </c>
      <c r="H52">
        <v>2736</v>
      </c>
      <c r="I52">
        <v>336</v>
      </c>
      <c r="J52">
        <v>2400</v>
      </c>
      <c r="K52">
        <v>5</v>
      </c>
      <c r="L52">
        <v>12000</v>
      </c>
    </row>
    <row r="53" spans="1:12" ht="21">
      <c r="A53" t="s">
        <v>326</v>
      </c>
      <c r="C53">
        <v>1</v>
      </c>
      <c r="D53" t="s">
        <v>409</v>
      </c>
      <c r="E53">
        <v>1408</v>
      </c>
      <c r="F53">
        <v>1142</v>
      </c>
      <c r="G53">
        <v>1374</v>
      </c>
      <c r="H53">
        <v>1373.4</v>
      </c>
      <c r="I53">
        <v>173</v>
      </c>
      <c r="J53">
        <v>1200</v>
      </c>
      <c r="K53">
        <v>8.9452</v>
      </c>
      <c r="L53">
        <v>10734.24</v>
      </c>
    </row>
    <row r="54" spans="1:12" ht="21">
      <c r="A54" t="s">
        <v>1423</v>
      </c>
      <c r="C54">
        <v>1</v>
      </c>
      <c r="D54" t="s">
        <v>409</v>
      </c>
      <c r="E54">
        <v>0</v>
      </c>
      <c r="F54">
        <v>400</v>
      </c>
      <c r="G54">
        <v>3960</v>
      </c>
      <c r="H54">
        <v>4356</v>
      </c>
      <c r="I54">
        <v>1556</v>
      </c>
      <c r="J54">
        <v>2800</v>
      </c>
      <c r="K54">
        <v>3.75</v>
      </c>
      <c r="L54">
        <v>10500</v>
      </c>
    </row>
    <row r="55" spans="1:12" ht="21">
      <c r="A55" t="s">
        <v>1373</v>
      </c>
      <c r="C55">
        <v>1</v>
      </c>
      <c r="D55" t="s">
        <v>409</v>
      </c>
      <c r="E55">
        <v>48</v>
      </c>
      <c r="F55">
        <v>0</v>
      </c>
      <c r="G55">
        <v>50</v>
      </c>
      <c r="H55">
        <v>50</v>
      </c>
      <c r="I55">
        <v>0</v>
      </c>
      <c r="J55">
        <v>50</v>
      </c>
      <c r="K55">
        <v>200</v>
      </c>
      <c r="L55">
        <v>10000</v>
      </c>
    </row>
    <row r="56" spans="1:12" ht="21">
      <c r="A56" t="s">
        <v>1488</v>
      </c>
      <c r="C56">
        <v>1</v>
      </c>
      <c r="D56" t="s">
        <v>409</v>
      </c>
      <c r="E56">
        <v>50</v>
      </c>
      <c r="F56">
        <v>0</v>
      </c>
      <c r="G56">
        <v>300</v>
      </c>
      <c r="H56">
        <v>400</v>
      </c>
      <c r="I56">
        <v>0</v>
      </c>
      <c r="J56">
        <v>400</v>
      </c>
      <c r="K56">
        <v>25</v>
      </c>
      <c r="L56">
        <v>10000</v>
      </c>
    </row>
    <row r="57" spans="1:12" ht="21">
      <c r="A57" s="102" t="s">
        <v>366</v>
      </c>
      <c r="C57">
        <v>1</v>
      </c>
      <c r="D57" t="s">
        <v>407</v>
      </c>
      <c r="E57">
        <v>593</v>
      </c>
      <c r="F57">
        <v>760</v>
      </c>
      <c r="G57">
        <v>720</v>
      </c>
      <c r="H57">
        <v>725.5500000000001</v>
      </c>
      <c r="I57">
        <v>26</v>
      </c>
      <c r="J57">
        <v>700</v>
      </c>
      <c r="K57">
        <v>13.125333333333339</v>
      </c>
      <c r="L57">
        <v>9187.733333333337</v>
      </c>
    </row>
    <row r="58" spans="1:12" ht="21">
      <c r="A58" t="s">
        <v>306</v>
      </c>
      <c r="C58">
        <v>1</v>
      </c>
      <c r="D58" t="s">
        <v>411</v>
      </c>
      <c r="E58">
        <v>575</v>
      </c>
      <c r="F58">
        <v>577</v>
      </c>
      <c r="G58">
        <v>642</v>
      </c>
      <c r="H58">
        <v>674</v>
      </c>
      <c r="I58">
        <v>74</v>
      </c>
      <c r="J58">
        <v>600</v>
      </c>
      <c r="K58">
        <v>15</v>
      </c>
      <c r="L58">
        <v>9000</v>
      </c>
    </row>
    <row r="59" spans="1:12" ht="21">
      <c r="A59" t="s">
        <v>320</v>
      </c>
      <c r="C59">
        <v>1</v>
      </c>
      <c r="D59" t="s">
        <v>1240</v>
      </c>
      <c r="E59">
        <v>89</v>
      </c>
      <c r="F59">
        <v>106</v>
      </c>
      <c r="G59">
        <v>121.19999999999999</v>
      </c>
      <c r="H59">
        <v>126</v>
      </c>
      <c r="I59">
        <v>26</v>
      </c>
      <c r="J59">
        <v>100</v>
      </c>
      <c r="K59">
        <v>90</v>
      </c>
      <c r="L59">
        <v>9000</v>
      </c>
    </row>
    <row r="60" spans="1:12" ht="21">
      <c r="A60" t="s">
        <v>291</v>
      </c>
      <c r="C60">
        <v>1</v>
      </c>
      <c r="D60" t="s">
        <v>381</v>
      </c>
      <c r="E60">
        <v>110</v>
      </c>
      <c r="F60">
        <v>65</v>
      </c>
      <c r="G60">
        <v>55.199999999999996</v>
      </c>
      <c r="H60">
        <v>80.57000000000001</v>
      </c>
      <c r="I60">
        <v>33</v>
      </c>
      <c r="J60">
        <v>48</v>
      </c>
      <c r="K60">
        <v>180</v>
      </c>
      <c r="L60">
        <v>8640</v>
      </c>
    </row>
    <row r="61" spans="1:12" ht="21">
      <c r="A61" t="s">
        <v>1380</v>
      </c>
      <c r="C61">
        <v>1</v>
      </c>
      <c r="D61" t="s">
        <v>409</v>
      </c>
      <c r="E61">
        <v>314</v>
      </c>
      <c r="F61">
        <v>204</v>
      </c>
      <c r="G61">
        <v>319.20000000000005</v>
      </c>
      <c r="H61">
        <v>334</v>
      </c>
      <c r="I61">
        <v>34</v>
      </c>
      <c r="J61">
        <v>300</v>
      </c>
      <c r="K61">
        <v>27.641616541353386</v>
      </c>
      <c r="L61">
        <v>8292.484962406015</v>
      </c>
    </row>
    <row r="62" spans="1:12" ht="21">
      <c r="A62" t="s">
        <v>424</v>
      </c>
      <c r="C62">
        <v>50</v>
      </c>
      <c r="D62" t="s">
        <v>412</v>
      </c>
      <c r="E62">
        <v>192</v>
      </c>
      <c r="F62">
        <v>162</v>
      </c>
      <c r="G62">
        <v>168</v>
      </c>
      <c r="H62">
        <v>181</v>
      </c>
      <c r="I62">
        <v>21</v>
      </c>
      <c r="J62">
        <v>160</v>
      </c>
      <c r="K62">
        <v>50</v>
      </c>
      <c r="L62">
        <v>8000</v>
      </c>
    </row>
    <row r="63" spans="1:12" ht="21">
      <c r="A63" t="s">
        <v>1435</v>
      </c>
      <c r="C63">
        <v>1</v>
      </c>
      <c r="D63" t="s">
        <v>410</v>
      </c>
      <c r="E63">
        <v>0</v>
      </c>
      <c r="F63">
        <v>1</v>
      </c>
      <c r="G63">
        <v>0</v>
      </c>
      <c r="H63">
        <v>1</v>
      </c>
      <c r="I63">
        <v>0</v>
      </c>
      <c r="J63">
        <v>1</v>
      </c>
      <c r="K63">
        <v>7500</v>
      </c>
      <c r="L63">
        <v>7500</v>
      </c>
    </row>
    <row r="64" spans="1:12" ht="21">
      <c r="A64" t="s">
        <v>345</v>
      </c>
      <c r="C64">
        <v>1</v>
      </c>
      <c r="D64" t="s">
        <v>1240</v>
      </c>
      <c r="E64">
        <v>178</v>
      </c>
      <c r="F64">
        <v>164</v>
      </c>
      <c r="G64">
        <v>147.60000000000002</v>
      </c>
      <c r="H64">
        <v>171.36</v>
      </c>
      <c r="I64">
        <v>31</v>
      </c>
      <c r="J64">
        <v>140</v>
      </c>
      <c r="K64">
        <v>53.5</v>
      </c>
      <c r="L64">
        <v>7490</v>
      </c>
    </row>
    <row r="65" spans="1:12" ht="21">
      <c r="A65" t="s">
        <v>362</v>
      </c>
      <c r="C65">
        <v>1</v>
      </c>
      <c r="D65" t="s">
        <v>411</v>
      </c>
      <c r="E65">
        <v>2</v>
      </c>
      <c r="F65">
        <v>3</v>
      </c>
      <c r="G65">
        <v>2.4000000000000004</v>
      </c>
      <c r="H65">
        <v>2.5900000000000003</v>
      </c>
      <c r="I65">
        <v>0</v>
      </c>
      <c r="J65">
        <v>3</v>
      </c>
      <c r="K65">
        <v>2461</v>
      </c>
      <c r="L65">
        <v>7383</v>
      </c>
    </row>
    <row r="66" spans="1:12" ht="21">
      <c r="A66" t="s">
        <v>1428</v>
      </c>
      <c r="C66">
        <v>1</v>
      </c>
      <c r="D66" t="s">
        <v>409</v>
      </c>
      <c r="E66">
        <v>0</v>
      </c>
      <c r="F66">
        <v>0</v>
      </c>
      <c r="G66">
        <v>1350</v>
      </c>
      <c r="H66">
        <v>1485</v>
      </c>
      <c r="I66">
        <v>285</v>
      </c>
      <c r="J66">
        <v>1200</v>
      </c>
      <c r="K66">
        <v>6</v>
      </c>
      <c r="L66">
        <v>7200</v>
      </c>
    </row>
    <row r="67" spans="1:12" ht="21">
      <c r="A67" t="s">
        <v>263</v>
      </c>
      <c r="C67">
        <v>1</v>
      </c>
      <c r="D67" t="s">
        <v>1239</v>
      </c>
      <c r="E67">
        <v>172</v>
      </c>
      <c r="F67">
        <v>152</v>
      </c>
      <c r="G67">
        <v>144</v>
      </c>
      <c r="H67">
        <v>163.8</v>
      </c>
      <c r="I67">
        <v>24</v>
      </c>
      <c r="J67">
        <v>140</v>
      </c>
      <c r="K67">
        <v>50</v>
      </c>
      <c r="L67">
        <v>7000</v>
      </c>
    </row>
    <row r="68" spans="1:12" ht="21">
      <c r="A68" t="s">
        <v>331</v>
      </c>
      <c r="C68">
        <v>1</v>
      </c>
      <c r="D68" t="s">
        <v>411</v>
      </c>
      <c r="E68">
        <v>49</v>
      </c>
      <c r="F68">
        <v>73</v>
      </c>
      <c r="G68">
        <v>100.80000000000001</v>
      </c>
      <c r="H68">
        <v>77.98</v>
      </c>
      <c r="I68">
        <v>6</v>
      </c>
      <c r="J68">
        <v>72</v>
      </c>
      <c r="K68">
        <v>96.4799</v>
      </c>
      <c r="L68">
        <v>6946.5528</v>
      </c>
    </row>
    <row r="69" spans="1:12" ht="21">
      <c r="A69" t="s">
        <v>367</v>
      </c>
      <c r="C69">
        <v>1</v>
      </c>
      <c r="D69" t="s">
        <v>407</v>
      </c>
      <c r="E69">
        <v>47</v>
      </c>
      <c r="F69">
        <v>27</v>
      </c>
      <c r="G69">
        <v>37.2</v>
      </c>
      <c r="H69">
        <v>38.92</v>
      </c>
      <c r="I69">
        <v>3</v>
      </c>
      <c r="J69">
        <v>36</v>
      </c>
      <c r="K69">
        <v>191.667</v>
      </c>
      <c r="L69">
        <v>6900.012</v>
      </c>
    </row>
    <row r="70" spans="1:12" ht="21">
      <c r="A70" t="s">
        <v>333</v>
      </c>
      <c r="C70">
        <v>1</v>
      </c>
      <c r="D70" t="s">
        <v>1239</v>
      </c>
      <c r="E70">
        <v>397</v>
      </c>
      <c r="F70">
        <v>441</v>
      </c>
      <c r="G70">
        <v>453.59999999999997</v>
      </c>
      <c r="H70">
        <v>460</v>
      </c>
      <c r="I70">
        <v>0</v>
      </c>
      <c r="J70">
        <v>460</v>
      </c>
      <c r="K70">
        <v>14</v>
      </c>
      <c r="L70">
        <v>6440</v>
      </c>
    </row>
    <row r="71" spans="1:12" ht="21">
      <c r="A71" t="s">
        <v>301</v>
      </c>
      <c r="C71">
        <v>1</v>
      </c>
      <c r="D71" t="s">
        <v>1237</v>
      </c>
      <c r="E71">
        <v>135</v>
      </c>
      <c r="F71">
        <v>90</v>
      </c>
      <c r="G71">
        <v>97.19999999999999</v>
      </c>
      <c r="H71">
        <v>112.77</v>
      </c>
      <c r="I71">
        <v>33</v>
      </c>
      <c r="J71">
        <v>80</v>
      </c>
      <c r="K71">
        <v>80</v>
      </c>
      <c r="L71">
        <v>6400</v>
      </c>
    </row>
    <row r="72" spans="1:12" ht="21">
      <c r="A72" t="s">
        <v>300</v>
      </c>
      <c r="C72">
        <v>1</v>
      </c>
      <c r="D72" t="s">
        <v>412</v>
      </c>
      <c r="E72">
        <v>171</v>
      </c>
      <c r="F72">
        <v>240</v>
      </c>
      <c r="G72">
        <v>360</v>
      </c>
      <c r="H72">
        <v>480</v>
      </c>
      <c r="I72">
        <v>0</v>
      </c>
      <c r="J72">
        <v>480</v>
      </c>
      <c r="K72">
        <v>13</v>
      </c>
      <c r="L72">
        <v>6240</v>
      </c>
    </row>
    <row r="73" spans="1:12" ht="21">
      <c r="A73" t="s">
        <v>348</v>
      </c>
      <c r="C73">
        <v>1</v>
      </c>
      <c r="D73" t="s">
        <v>411</v>
      </c>
      <c r="E73">
        <v>156</v>
      </c>
      <c r="F73">
        <v>120</v>
      </c>
      <c r="G73">
        <v>195.6</v>
      </c>
      <c r="H73">
        <v>205</v>
      </c>
      <c r="I73">
        <v>13</v>
      </c>
      <c r="J73">
        <v>192</v>
      </c>
      <c r="K73">
        <v>32.1</v>
      </c>
      <c r="L73">
        <v>6163.200000000001</v>
      </c>
    </row>
    <row r="74" spans="1:12" ht="21">
      <c r="A74" t="s">
        <v>277</v>
      </c>
      <c r="C74">
        <v>1</v>
      </c>
      <c r="D74" t="s">
        <v>409</v>
      </c>
      <c r="E74">
        <v>0</v>
      </c>
      <c r="F74">
        <v>130</v>
      </c>
      <c r="G74">
        <v>264</v>
      </c>
      <c r="H74">
        <v>369</v>
      </c>
      <c r="I74">
        <v>29</v>
      </c>
      <c r="J74">
        <v>340</v>
      </c>
      <c r="K74">
        <v>18</v>
      </c>
      <c r="L74">
        <v>6120</v>
      </c>
    </row>
    <row r="75" spans="1:12" ht="21">
      <c r="A75" t="s">
        <v>368</v>
      </c>
      <c r="C75">
        <v>1</v>
      </c>
      <c r="D75" t="s">
        <v>407</v>
      </c>
      <c r="E75">
        <v>247</v>
      </c>
      <c r="F75">
        <v>311</v>
      </c>
      <c r="G75">
        <v>141.60000000000002</v>
      </c>
      <c r="H75">
        <v>240</v>
      </c>
      <c r="I75">
        <v>0</v>
      </c>
      <c r="J75">
        <v>240</v>
      </c>
      <c r="K75">
        <v>25</v>
      </c>
      <c r="L75">
        <v>6000</v>
      </c>
    </row>
    <row r="76" spans="1:12" ht="21">
      <c r="A76" t="s">
        <v>233</v>
      </c>
      <c r="C76">
        <v>1</v>
      </c>
      <c r="D76" t="s">
        <v>409</v>
      </c>
      <c r="E76">
        <v>196</v>
      </c>
      <c r="F76">
        <v>190</v>
      </c>
      <c r="G76">
        <v>70.80000000000001</v>
      </c>
      <c r="H76">
        <v>181</v>
      </c>
      <c r="I76">
        <v>21</v>
      </c>
      <c r="J76">
        <v>160</v>
      </c>
      <c r="K76">
        <v>35</v>
      </c>
      <c r="L76">
        <v>5600</v>
      </c>
    </row>
    <row r="77" spans="1:12" ht="21">
      <c r="A77" t="s">
        <v>346</v>
      </c>
      <c r="C77">
        <v>1</v>
      </c>
      <c r="D77" t="s">
        <v>1240</v>
      </c>
      <c r="E77">
        <v>136</v>
      </c>
      <c r="F77">
        <v>146</v>
      </c>
      <c r="G77">
        <v>109.19999999999999</v>
      </c>
      <c r="H77">
        <v>136.92000000000002</v>
      </c>
      <c r="I77">
        <v>37</v>
      </c>
      <c r="J77">
        <v>100</v>
      </c>
      <c r="K77">
        <v>53.5</v>
      </c>
      <c r="L77">
        <v>5350</v>
      </c>
    </row>
    <row r="78" spans="1:12" ht="21">
      <c r="A78" t="s">
        <v>370</v>
      </c>
      <c r="C78">
        <v>1</v>
      </c>
      <c r="D78" t="s">
        <v>411</v>
      </c>
      <c r="E78">
        <v>317</v>
      </c>
      <c r="F78">
        <v>268</v>
      </c>
      <c r="G78">
        <v>284.4</v>
      </c>
      <c r="H78">
        <v>304.29</v>
      </c>
      <c r="I78">
        <v>64</v>
      </c>
      <c r="J78">
        <v>240</v>
      </c>
      <c r="K78">
        <v>22.2914</v>
      </c>
      <c r="L78">
        <v>5349.936</v>
      </c>
    </row>
    <row r="79" spans="1:12" ht="21">
      <c r="A79" t="s">
        <v>1322</v>
      </c>
      <c r="C79">
        <v>1</v>
      </c>
      <c r="D79" t="s">
        <v>1241</v>
      </c>
      <c r="E79">
        <v>3300</v>
      </c>
      <c r="F79">
        <v>5400</v>
      </c>
      <c r="G79">
        <v>5160</v>
      </c>
      <c r="H79">
        <v>5544</v>
      </c>
      <c r="I79">
        <v>1144</v>
      </c>
      <c r="J79">
        <v>4400</v>
      </c>
      <c r="K79">
        <v>1.2</v>
      </c>
      <c r="L79">
        <v>5280</v>
      </c>
    </row>
    <row r="80" spans="1:12" ht="21">
      <c r="A80" t="s">
        <v>232</v>
      </c>
      <c r="C80">
        <v>1</v>
      </c>
      <c r="D80" t="s">
        <v>409</v>
      </c>
      <c r="E80">
        <v>36</v>
      </c>
      <c r="F80">
        <v>38</v>
      </c>
      <c r="G80">
        <v>146.39999999999998</v>
      </c>
      <c r="H80">
        <v>170</v>
      </c>
      <c r="I80">
        <v>20</v>
      </c>
      <c r="J80">
        <v>150</v>
      </c>
      <c r="K80">
        <v>35</v>
      </c>
      <c r="L80">
        <v>5250</v>
      </c>
    </row>
    <row r="81" spans="1:12" ht="21">
      <c r="A81" t="s">
        <v>299</v>
      </c>
      <c r="C81">
        <v>1</v>
      </c>
      <c r="D81" t="s">
        <v>409</v>
      </c>
      <c r="E81">
        <v>70</v>
      </c>
      <c r="F81">
        <v>70</v>
      </c>
      <c r="G81">
        <v>93.6</v>
      </c>
      <c r="H81">
        <v>96</v>
      </c>
      <c r="I81">
        <v>12</v>
      </c>
      <c r="J81">
        <v>84</v>
      </c>
      <c r="K81">
        <v>62.5</v>
      </c>
      <c r="L81">
        <v>5250</v>
      </c>
    </row>
    <row r="82" spans="1:12" ht="21">
      <c r="A82" t="s">
        <v>456</v>
      </c>
      <c r="C82">
        <v>1</v>
      </c>
      <c r="D82" t="s">
        <v>1242</v>
      </c>
      <c r="E82">
        <v>300</v>
      </c>
      <c r="F82">
        <v>250</v>
      </c>
      <c r="G82">
        <v>300</v>
      </c>
      <c r="H82">
        <v>300</v>
      </c>
      <c r="I82">
        <v>0</v>
      </c>
      <c r="J82">
        <v>300</v>
      </c>
      <c r="K82">
        <v>17.2</v>
      </c>
      <c r="L82">
        <v>5160</v>
      </c>
    </row>
    <row r="83" spans="1:12" ht="21">
      <c r="A83" t="s">
        <v>286</v>
      </c>
      <c r="C83">
        <v>1</v>
      </c>
      <c r="D83" t="s">
        <v>412</v>
      </c>
      <c r="E83">
        <v>1995</v>
      </c>
      <c r="F83">
        <v>1855</v>
      </c>
      <c r="G83">
        <v>1380</v>
      </c>
      <c r="H83">
        <v>1800</v>
      </c>
      <c r="I83">
        <v>200</v>
      </c>
      <c r="J83">
        <v>1600</v>
      </c>
      <c r="K83">
        <v>3.21</v>
      </c>
      <c r="L83">
        <v>5136</v>
      </c>
    </row>
    <row r="84" spans="1:12" ht="21">
      <c r="A84" t="s">
        <v>1429</v>
      </c>
      <c r="C84">
        <v>1</v>
      </c>
      <c r="D84" t="s">
        <v>409</v>
      </c>
      <c r="E84">
        <v>0</v>
      </c>
      <c r="F84">
        <v>0</v>
      </c>
      <c r="G84">
        <v>2640</v>
      </c>
      <c r="H84">
        <v>2800</v>
      </c>
      <c r="I84">
        <v>800</v>
      </c>
      <c r="J84">
        <v>2000</v>
      </c>
      <c r="K84">
        <v>2.4</v>
      </c>
      <c r="L84">
        <v>4800</v>
      </c>
    </row>
    <row r="85" spans="1:12" ht="21">
      <c r="A85" t="s">
        <v>1476</v>
      </c>
      <c r="C85">
        <v>1</v>
      </c>
      <c r="D85" t="s">
        <v>1477</v>
      </c>
      <c r="E85">
        <v>0</v>
      </c>
      <c r="F85">
        <v>0</v>
      </c>
      <c r="G85">
        <v>5</v>
      </c>
      <c r="H85">
        <v>10</v>
      </c>
      <c r="I85">
        <v>0</v>
      </c>
      <c r="J85">
        <v>10</v>
      </c>
      <c r="K85">
        <v>450</v>
      </c>
      <c r="L85">
        <v>4500</v>
      </c>
    </row>
    <row r="86" spans="1:12" ht="21">
      <c r="A86" t="s">
        <v>1377</v>
      </c>
      <c r="C86">
        <v>1</v>
      </c>
      <c r="D86" t="s">
        <v>409</v>
      </c>
      <c r="E86">
        <v>62</v>
      </c>
      <c r="F86">
        <v>146</v>
      </c>
      <c r="G86">
        <v>187.2</v>
      </c>
      <c r="H86">
        <v>196</v>
      </c>
      <c r="I86">
        <v>28</v>
      </c>
      <c r="J86">
        <v>168</v>
      </c>
      <c r="K86">
        <v>25.769102564102564</v>
      </c>
      <c r="L86">
        <v>4329.209230769231</v>
      </c>
    </row>
    <row r="87" spans="1:12" ht="21">
      <c r="A87" t="s">
        <v>432</v>
      </c>
      <c r="C87">
        <v>1</v>
      </c>
      <c r="D87" t="s">
        <v>1240</v>
      </c>
      <c r="E87">
        <v>80</v>
      </c>
      <c r="F87">
        <v>60</v>
      </c>
      <c r="G87">
        <v>79.19999999999999</v>
      </c>
      <c r="H87">
        <v>80</v>
      </c>
      <c r="I87">
        <v>0</v>
      </c>
      <c r="J87">
        <v>80</v>
      </c>
      <c r="K87">
        <v>53.5</v>
      </c>
      <c r="L87">
        <v>4280</v>
      </c>
    </row>
    <row r="88" spans="1:12" ht="21">
      <c r="A88" t="s">
        <v>374</v>
      </c>
      <c r="C88">
        <v>1</v>
      </c>
      <c r="D88" t="s">
        <v>411</v>
      </c>
      <c r="E88">
        <v>61</v>
      </c>
      <c r="F88">
        <v>131</v>
      </c>
      <c r="G88">
        <v>85.19999999999999</v>
      </c>
      <c r="H88">
        <v>96</v>
      </c>
      <c r="I88">
        <v>0</v>
      </c>
      <c r="J88">
        <v>96</v>
      </c>
      <c r="K88">
        <v>40</v>
      </c>
      <c r="L88">
        <v>3840</v>
      </c>
    </row>
    <row r="89" spans="1:12" ht="21">
      <c r="A89" t="s">
        <v>279</v>
      </c>
      <c r="C89">
        <v>1</v>
      </c>
      <c r="D89" t="s">
        <v>1239</v>
      </c>
      <c r="E89">
        <v>1364</v>
      </c>
      <c r="F89">
        <v>1691</v>
      </c>
      <c r="G89">
        <v>1096.8000000000002</v>
      </c>
      <c r="H89">
        <v>1460</v>
      </c>
      <c r="I89">
        <v>260</v>
      </c>
      <c r="J89">
        <v>1200</v>
      </c>
      <c r="K89">
        <v>3.1</v>
      </c>
      <c r="L89">
        <v>3720</v>
      </c>
    </row>
    <row r="90" spans="1:12" ht="21">
      <c r="A90" t="s">
        <v>373</v>
      </c>
      <c r="C90">
        <v>1</v>
      </c>
      <c r="D90" t="s">
        <v>411</v>
      </c>
      <c r="E90">
        <v>50</v>
      </c>
      <c r="F90">
        <v>82</v>
      </c>
      <c r="G90">
        <v>86.4</v>
      </c>
      <c r="H90">
        <v>96</v>
      </c>
      <c r="I90">
        <v>0</v>
      </c>
      <c r="J90">
        <v>96</v>
      </c>
      <c r="K90">
        <v>32</v>
      </c>
      <c r="L90">
        <v>3072</v>
      </c>
    </row>
    <row r="91" spans="1:12" ht="21">
      <c r="A91" t="s">
        <v>262</v>
      </c>
      <c r="C91">
        <v>1</v>
      </c>
      <c r="D91" t="s">
        <v>1239</v>
      </c>
      <c r="E91">
        <v>64</v>
      </c>
      <c r="F91">
        <v>81</v>
      </c>
      <c r="G91">
        <v>67.19999999999999</v>
      </c>
      <c r="H91">
        <v>74.27000000000001</v>
      </c>
      <c r="I91">
        <v>14</v>
      </c>
      <c r="J91">
        <v>60</v>
      </c>
      <c r="K91">
        <v>50</v>
      </c>
      <c r="L91">
        <v>3000</v>
      </c>
    </row>
    <row r="92" spans="1:12" ht="21">
      <c r="A92" t="s">
        <v>298</v>
      </c>
      <c r="C92">
        <v>1</v>
      </c>
      <c r="D92" t="s">
        <v>409</v>
      </c>
      <c r="E92">
        <v>72</v>
      </c>
      <c r="F92">
        <v>72</v>
      </c>
      <c r="G92">
        <v>43.2</v>
      </c>
      <c r="H92">
        <v>65.52</v>
      </c>
      <c r="I92">
        <v>18</v>
      </c>
      <c r="J92">
        <v>48</v>
      </c>
      <c r="K92">
        <v>62.5</v>
      </c>
      <c r="L92">
        <v>3000</v>
      </c>
    </row>
    <row r="93" spans="1:12" ht="21">
      <c r="A93" t="s">
        <v>295</v>
      </c>
      <c r="C93">
        <v>1</v>
      </c>
      <c r="D93" t="s">
        <v>409</v>
      </c>
      <c r="E93">
        <v>443</v>
      </c>
      <c r="F93">
        <v>322</v>
      </c>
      <c r="G93">
        <v>168</v>
      </c>
      <c r="H93">
        <v>320</v>
      </c>
      <c r="I93">
        <v>200</v>
      </c>
      <c r="J93">
        <v>120</v>
      </c>
      <c r="K93">
        <v>23.54</v>
      </c>
      <c r="L93">
        <v>2824.7999999999997</v>
      </c>
    </row>
    <row r="94" spans="1:12" ht="21">
      <c r="A94" t="s">
        <v>375</v>
      </c>
      <c r="C94">
        <v>1</v>
      </c>
      <c r="D94" t="s">
        <v>411</v>
      </c>
      <c r="E94">
        <v>12</v>
      </c>
      <c r="F94">
        <v>24</v>
      </c>
      <c r="G94">
        <v>38.400000000000006</v>
      </c>
      <c r="H94">
        <v>48</v>
      </c>
      <c r="I94">
        <v>0</v>
      </c>
      <c r="J94">
        <v>48</v>
      </c>
      <c r="K94">
        <v>57</v>
      </c>
      <c r="L94">
        <v>2736</v>
      </c>
    </row>
    <row r="95" spans="1:12" ht="21">
      <c r="A95" t="s">
        <v>430</v>
      </c>
      <c r="C95">
        <v>1</v>
      </c>
      <c r="D95" t="s">
        <v>411</v>
      </c>
      <c r="E95">
        <v>8</v>
      </c>
      <c r="F95">
        <v>2</v>
      </c>
      <c r="G95">
        <v>19.200000000000003</v>
      </c>
      <c r="H95">
        <v>20</v>
      </c>
      <c r="I95">
        <v>0</v>
      </c>
      <c r="J95">
        <v>20</v>
      </c>
      <c r="K95">
        <v>135.533</v>
      </c>
      <c r="L95">
        <v>2710.66</v>
      </c>
    </row>
    <row r="96" spans="1:12" ht="21">
      <c r="A96" t="s">
        <v>1470</v>
      </c>
      <c r="C96">
        <v>1</v>
      </c>
      <c r="D96" t="s">
        <v>1239</v>
      </c>
      <c r="E96">
        <v>0</v>
      </c>
      <c r="F96">
        <v>0</v>
      </c>
      <c r="G96">
        <v>12</v>
      </c>
      <c r="H96">
        <v>20</v>
      </c>
      <c r="I96">
        <v>0</v>
      </c>
      <c r="J96">
        <v>20</v>
      </c>
      <c r="K96">
        <v>120</v>
      </c>
      <c r="L96">
        <v>2400</v>
      </c>
    </row>
    <row r="97" spans="1:12" ht="21">
      <c r="A97" t="s">
        <v>332</v>
      </c>
      <c r="C97">
        <v>1</v>
      </c>
      <c r="D97" t="s">
        <v>411</v>
      </c>
      <c r="E97">
        <v>88</v>
      </c>
      <c r="F97">
        <v>119</v>
      </c>
      <c r="G97">
        <v>108</v>
      </c>
      <c r="H97">
        <v>120</v>
      </c>
      <c r="I97">
        <v>0</v>
      </c>
      <c r="J97">
        <v>120</v>
      </c>
      <c r="K97">
        <v>18.7252</v>
      </c>
      <c r="L97">
        <v>2247.0240000000003</v>
      </c>
    </row>
    <row r="98" spans="1:12" ht="21">
      <c r="A98" t="s">
        <v>1432</v>
      </c>
      <c r="C98">
        <v>1</v>
      </c>
      <c r="D98" t="s">
        <v>1348</v>
      </c>
      <c r="E98">
        <v>0</v>
      </c>
      <c r="F98">
        <v>0</v>
      </c>
      <c r="G98">
        <v>300</v>
      </c>
      <c r="H98">
        <v>400</v>
      </c>
      <c r="I98">
        <v>0</v>
      </c>
      <c r="J98">
        <v>400</v>
      </c>
      <c r="K98">
        <v>5.5</v>
      </c>
      <c r="L98">
        <v>2200</v>
      </c>
    </row>
    <row r="99" spans="1:12" ht="21">
      <c r="A99" t="s">
        <v>283</v>
      </c>
      <c r="C99">
        <v>1</v>
      </c>
      <c r="D99" t="s">
        <v>1239</v>
      </c>
      <c r="E99">
        <v>872</v>
      </c>
      <c r="F99">
        <v>1108</v>
      </c>
      <c r="G99">
        <v>818.4000000000001</v>
      </c>
      <c r="H99">
        <v>980</v>
      </c>
      <c r="I99">
        <v>300</v>
      </c>
      <c r="J99">
        <v>680</v>
      </c>
      <c r="K99">
        <v>3.1</v>
      </c>
      <c r="L99">
        <v>2108</v>
      </c>
    </row>
    <row r="100" spans="1:12" ht="21">
      <c r="A100" t="s">
        <v>1347</v>
      </c>
      <c r="C100">
        <v>1</v>
      </c>
      <c r="D100" t="s">
        <v>1241</v>
      </c>
      <c r="E100">
        <v>0</v>
      </c>
      <c r="F100">
        <v>4</v>
      </c>
      <c r="G100">
        <v>8.399999999999999</v>
      </c>
      <c r="H100">
        <v>10</v>
      </c>
      <c r="I100">
        <v>0</v>
      </c>
      <c r="J100">
        <v>10</v>
      </c>
      <c r="K100">
        <v>200</v>
      </c>
      <c r="L100">
        <v>2000</v>
      </c>
    </row>
    <row r="101" spans="1:12" ht="21">
      <c r="A101" t="s">
        <v>1381</v>
      </c>
      <c r="C101">
        <v>1</v>
      </c>
      <c r="D101" t="s">
        <v>409</v>
      </c>
      <c r="E101">
        <v>25</v>
      </c>
      <c r="F101">
        <v>36</v>
      </c>
      <c r="G101">
        <v>27.599999999999998</v>
      </c>
      <c r="H101">
        <v>31.009999999999998</v>
      </c>
      <c r="I101">
        <v>7</v>
      </c>
      <c r="J101">
        <v>24</v>
      </c>
      <c r="K101">
        <v>72.22521739130435</v>
      </c>
      <c r="L101">
        <v>1733.4052173913046</v>
      </c>
    </row>
    <row r="102" spans="1:12" ht="21">
      <c r="A102" t="s">
        <v>251</v>
      </c>
      <c r="C102">
        <v>100</v>
      </c>
      <c r="D102" t="s">
        <v>1238</v>
      </c>
      <c r="E102">
        <v>10</v>
      </c>
      <c r="F102">
        <v>8</v>
      </c>
      <c r="G102">
        <v>10.8</v>
      </c>
      <c r="H102">
        <v>12</v>
      </c>
      <c r="I102">
        <v>0</v>
      </c>
      <c r="J102">
        <v>12</v>
      </c>
      <c r="K102">
        <v>140</v>
      </c>
      <c r="L102">
        <v>1680</v>
      </c>
    </row>
    <row r="103" spans="1:12" ht="21">
      <c r="A103" t="s">
        <v>314</v>
      </c>
      <c r="C103">
        <v>1</v>
      </c>
      <c r="D103" t="s">
        <v>1239</v>
      </c>
      <c r="E103">
        <v>100</v>
      </c>
      <c r="F103">
        <v>58</v>
      </c>
      <c r="G103">
        <v>84</v>
      </c>
      <c r="H103">
        <v>84.7</v>
      </c>
      <c r="I103">
        <v>15</v>
      </c>
      <c r="J103">
        <v>70</v>
      </c>
      <c r="K103">
        <v>23</v>
      </c>
      <c r="L103">
        <v>1610</v>
      </c>
    </row>
    <row r="104" spans="1:12" ht="21">
      <c r="A104" t="s">
        <v>455</v>
      </c>
      <c r="C104">
        <v>1</v>
      </c>
      <c r="D104" t="s">
        <v>1240</v>
      </c>
      <c r="E104">
        <v>13</v>
      </c>
      <c r="F104">
        <v>11</v>
      </c>
      <c r="G104">
        <v>33.599999999999994</v>
      </c>
      <c r="H104">
        <v>40</v>
      </c>
      <c r="I104">
        <v>10</v>
      </c>
      <c r="J104">
        <v>30</v>
      </c>
      <c r="K104">
        <v>53.5</v>
      </c>
      <c r="L104">
        <v>1605</v>
      </c>
    </row>
    <row r="105" spans="1:12" ht="21">
      <c r="A105" t="s">
        <v>302</v>
      </c>
      <c r="C105">
        <v>1</v>
      </c>
      <c r="D105" t="s">
        <v>411</v>
      </c>
      <c r="E105">
        <v>23</v>
      </c>
      <c r="F105">
        <v>32</v>
      </c>
      <c r="G105">
        <v>22.799999999999997</v>
      </c>
      <c r="H105">
        <v>27.23</v>
      </c>
      <c r="I105">
        <v>7</v>
      </c>
      <c r="J105">
        <v>20</v>
      </c>
      <c r="K105">
        <v>80</v>
      </c>
      <c r="L105">
        <v>1600</v>
      </c>
    </row>
    <row r="106" spans="1:12" ht="21">
      <c r="A106" t="s">
        <v>349</v>
      </c>
      <c r="C106">
        <v>1</v>
      </c>
      <c r="D106" t="s">
        <v>411</v>
      </c>
      <c r="E106">
        <v>47</v>
      </c>
      <c r="F106">
        <v>28</v>
      </c>
      <c r="G106">
        <v>62.400000000000006</v>
      </c>
      <c r="H106">
        <v>48.09</v>
      </c>
      <c r="I106">
        <v>0</v>
      </c>
      <c r="J106">
        <v>48</v>
      </c>
      <c r="K106">
        <v>32.1</v>
      </c>
      <c r="L106">
        <v>1540.8000000000002</v>
      </c>
    </row>
    <row r="107" spans="1:12" ht="21">
      <c r="A107" t="s">
        <v>347</v>
      </c>
      <c r="C107">
        <v>1</v>
      </c>
      <c r="D107" t="s">
        <v>411</v>
      </c>
      <c r="E107">
        <v>57</v>
      </c>
      <c r="F107">
        <v>65</v>
      </c>
      <c r="G107">
        <v>86.4</v>
      </c>
      <c r="H107">
        <v>96</v>
      </c>
      <c r="I107">
        <v>0</v>
      </c>
      <c r="J107">
        <v>96</v>
      </c>
      <c r="K107">
        <v>15.379999999999997</v>
      </c>
      <c r="L107">
        <v>1476.4799999999998</v>
      </c>
    </row>
    <row r="108" spans="1:12" ht="21">
      <c r="A108" t="s">
        <v>513</v>
      </c>
      <c r="C108">
        <v>1</v>
      </c>
      <c r="D108" t="s">
        <v>409</v>
      </c>
      <c r="E108">
        <v>0</v>
      </c>
      <c r="F108">
        <v>36</v>
      </c>
      <c r="G108">
        <v>0</v>
      </c>
      <c r="H108">
        <v>12</v>
      </c>
      <c r="I108">
        <v>0</v>
      </c>
      <c r="J108">
        <v>12</v>
      </c>
      <c r="K108">
        <v>122.1583</v>
      </c>
      <c r="L108">
        <v>1465.8996</v>
      </c>
    </row>
    <row r="109" spans="1:12" ht="21">
      <c r="A109" t="s">
        <v>231</v>
      </c>
      <c r="C109">
        <v>1</v>
      </c>
      <c r="D109" t="s">
        <v>409</v>
      </c>
      <c r="E109">
        <v>15</v>
      </c>
      <c r="F109">
        <v>11</v>
      </c>
      <c r="G109">
        <v>38.400000000000006</v>
      </c>
      <c r="H109">
        <v>46</v>
      </c>
      <c r="I109">
        <v>6</v>
      </c>
      <c r="J109">
        <v>40</v>
      </c>
      <c r="K109">
        <v>35</v>
      </c>
      <c r="L109">
        <v>1400</v>
      </c>
    </row>
    <row r="110" spans="1:12" ht="21">
      <c r="A110" t="s">
        <v>282</v>
      </c>
      <c r="C110">
        <v>1</v>
      </c>
      <c r="D110" t="s">
        <v>1239</v>
      </c>
      <c r="E110">
        <v>633</v>
      </c>
      <c r="F110">
        <v>900</v>
      </c>
      <c r="G110">
        <v>464.40000000000003</v>
      </c>
      <c r="H110">
        <v>700</v>
      </c>
      <c r="I110">
        <v>250</v>
      </c>
      <c r="J110">
        <v>450</v>
      </c>
      <c r="K110">
        <v>3.1</v>
      </c>
      <c r="L110">
        <v>1395</v>
      </c>
    </row>
    <row r="111" spans="1:12" ht="21">
      <c r="A111" t="s">
        <v>1447</v>
      </c>
      <c r="C111">
        <v>1</v>
      </c>
      <c r="D111" t="s">
        <v>411</v>
      </c>
      <c r="E111">
        <v>0</v>
      </c>
      <c r="F111">
        <v>0</v>
      </c>
      <c r="G111">
        <v>0</v>
      </c>
      <c r="H111">
        <v>2</v>
      </c>
      <c r="I111">
        <v>0</v>
      </c>
      <c r="J111">
        <v>2</v>
      </c>
      <c r="K111">
        <v>600</v>
      </c>
      <c r="L111">
        <v>1200</v>
      </c>
    </row>
    <row r="112" spans="1:12" ht="21">
      <c r="A112" t="s">
        <v>304</v>
      </c>
      <c r="C112">
        <v>1</v>
      </c>
      <c r="D112" t="s">
        <v>409</v>
      </c>
      <c r="E112">
        <v>16</v>
      </c>
      <c r="F112">
        <v>14</v>
      </c>
      <c r="G112">
        <v>0</v>
      </c>
      <c r="H112">
        <v>12</v>
      </c>
      <c r="I112">
        <v>0</v>
      </c>
      <c r="J112">
        <v>12</v>
      </c>
      <c r="K112">
        <v>98.08357142857143</v>
      </c>
      <c r="L112">
        <v>1177.0028571428572</v>
      </c>
    </row>
    <row r="113" spans="1:12" ht="21">
      <c r="A113" t="s">
        <v>287</v>
      </c>
      <c r="C113">
        <v>1</v>
      </c>
      <c r="D113" t="s">
        <v>412</v>
      </c>
      <c r="E113">
        <v>110</v>
      </c>
      <c r="F113">
        <v>490</v>
      </c>
      <c r="G113">
        <v>360</v>
      </c>
      <c r="H113">
        <v>400</v>
      </c>
      <c r="I113">
        <v>100</v>
      </c>
      <c r="J113">
        <v>300</v>
      </c>
      <c r="K113">
        <v>3.21</v>
      </c>
      <c r="L113">
        <v>963</v>
      </c>
    </row>
    <row r="114" spans="1:12" ht="21">
      <c r="A114" t="s">
        <v>312</v>
      </c>
      <c r="C114">
        <v>1</v>
      </c>
      <c r="D114" t="s">
        <v>1239</v>
      </c>
      <c r="E114">
        <v>20</v>
      </c>
      <c r="F114">
        <v>39</v>
      </c>
      <c r="G114">
        <v>49.199999999999996</v>
      </c>
      <c r="H114">
        <v>50</v>
      </c>
      <c r="I114">
        <v>10</v>
      </c>
      <c r="J114">
        <v>40</v>
      </c>
      <c r="K114">
        <v>23</v>
      </c>
      <c r="L114">
        <v>920</v>
      </c>
    </row>
    <row r="115" spans="1:12" ht="21">
      <c r="A115" t="s">
        <v>318</v>
      </c>
      <c r="C115">
        <v>1</v>
      </c>
      <c r="D115" t="s">
        <v>1242</v>
      </c>
      <c r="E115">
        <v>0</v>
      </c>
      <c r="F115">
        <v>0</v>
      </c>
      <c r="G115">
        <v>0</v>
      </c>
      <c r="H115">
        <v>5</v>
      </c>
      <c r="I115">
        <v>0</v>
      </c>
      <c r="J115">
        <v>5</v>
      </c>
      <c r="K115">
        <v>160</v>
      </c>
      <c r="L115">
        <v>800</v>
      </c>
    </row>
    <row r="116" spans="1:12" ht="21">
      <c r="A116" t="s">
        <v>305</v>
      </c>
      <c r="C116">
        <v>1</v>
      </c>
      <c r="D116" t="s">
        <v>411</v>
      </c>
      <c r="E116">
        <v>66</v>
      </c>
      <c r="F116">
        <v>82</v>
      </c>
      <c r="G116">
        <v>74.4</v>
      </c>
      <c r="H116">
        <v>77.84</v>
      </c>
      <c r="I116">
        <v>6</v>
      </c>
      <c r="J116">
        <v>72</v>
      </c>
      <c r="K116">
        <v>10</v>
      </c>
      <c r="L116">
        <v>720</v>
      </c>
    </row>
    <row r="117" spans="1:12" ht="21">
      <c r="A117" t="s">
        <v>230</v>
      </c>
      <c r="C117">
        <v>1</v>
      </c>
      <c r="D117" t="s">
        <v>409</v>
      </c>
      <c r="E117">
        <v>27</v>
      </c>
      <c r="F117">
        <v>10</v>
      </c>
      <c r="G117">
        <v>24</v>
      </c>
      <c r="H117">
        <v>24</v>
      </c>
      <c r="I117">
        <v>4</v>
      </c>
      <c r="J117">
        <v>20</v>
      </c>
      <c r="K117">
        <v>35</v>
      </c>
      <c r="L117">
        <v>700</v>
      </c>
    </row>
    <row r="118" spans="1:12" ht="21">
      <c r="A118" t="s">
        <v>355</v>
      </c>
      <c r="C118">
        <v>1</v>
      </c>
      <c r="D118" t="s">
        <v>411</v>
      </c>
      <c r="E118">
        <v>1</v>
      </c>
      <c r="F118">
        <v>0</v>
      </c>
      <c r="G118">
        <v>0</v>
      </c>
      <c r="H118">
        <v>2</v>
      </c>
      <c r="I118">
        <v>0</v>
      </c>
      <c r="J118">
        <v>2</v>
      </c>
      <c r="K118">
        <v>340</v>
      </c>
      <c r="L118">
        <v>680</v>
      </c>
    </row>
    <row r="119" spans="1:12" ht="21">
      <c r="A119" t="s">
        <v>357</v>
      </c>
      <c r="C119">
        <v>1</v>
      </c>
      <c r="D119" t="s">
        <v>411</v>
      </c>
      <c r="E119">
        <v>2</v>
      </c>
      <c r="F119">
        <v>0</v>
      </c>
      <c r="G119">
        <v>0</v>
      </c>
      <c r="H119">
        <v>2</v>
      </c>
      <c r="I119">
        <v>0</v>
      </c>
      <c r="J119">
        <v>2</v>
      </c>
      <c r="K119">
        <v>340</v>
      </c>
      <c r="L119">
        <v>680</v>
      </c>
    </row>
    <row r="120" spans="1:12" ht="21">
      <c r="A120" t="s">
        <v>260</v>
      </c>
      <c r="C120">
        <v>1</v>
      </c>
      <c r="D120" t="s">
        <v>1239</v>
      </c>
      <c r="E120">
        <v>19</v>
      </c>
      <c r="F120">
        <v>14</v>
      </c>
      <c r="G120">
        <v>18</v>
      </c>
      <c r="H120">
        <v>17.85</v>
      </c>
      <c r="I120">
        <v>5</v>
      </c>
      <c r="J120">
        <v>13</v>
      </c>
      <c r="K120">
        <v>50</v>
      </c>
      <c r="L120">
        <v>650</v>
      </c>
    </row>
    <row r="121" spans="1:12" ht="21">
      <c r="A121" t="s">
        <v>319</v>
      </c>
      <c r="C121">
        <v>1</v>
      </c>
      <c r="D121" t="s">
        <v>1242</v>
      </c>
      <c r="E121">
        <v>0</v>
      </c>
      <c r="F121">
        <v>0</v>
      </c>
      <c r="G121">
        <v>0</v>
      </c>
      <c r="H121">
        <v>5</v>
      </c>
      <c r="I121">
        <v>0</v>
      </c>
      <c r="J121">
        <v>5</v>
      </c>
      <c r="K121">
        <v>125</v>
      </c>
      <c r="L121">
        <v>625</v>
      </c>
    </row>
    <row r="122" spans="1:12" ht="21">
      <c r="A122" t="s">
        <v>280</v>
      </c>
      <c r="C122">
        <v>1</v>
      </c>
      <c r="D122" t="s">
        <v>1239</v>
      </c>
      <c r="E122">
        <v>213</v>
      </c>
      <c r="F122">
        <v>246</v>
      </c>
      <c r="G122">
        <v>166.8</v>
      </c>
      <c r="H122">
        <v>220</v>
      </c>
      <c r="I122">
        <v>20</v>
      </c>
      <c r="J122">
        <v>200</v>
      </c>
      <c r="K122">
        <v>3.1</v>
      </c>
      <c r="L122">
        <v>620</v>
      </c>
    </row>
    <row r="123" spans="1:12" ht="21">
      <c r="A123" t="s">
        <v>261</v>
      </c>
      <c r="C123">
        <v>1</v>
      </c>
      <c r="D123" t="s">
        <v>1239</v>
      </c>
      <c r="E123">
        <v>20</v>
      </c>
      <c r="F123">
        <v>17</v>
      </c>
      <c r="G123">
        <v>13.200000000000001</v>
      </c>
      <c r="H123">
        <v>17.57</v>
      </c>
      <c r="I123">
        <v>6</v>
      </c>
      <c r="J123">
        <v>12</v>
      </c>
      <c r="K123">
        <v>50</v>
      </c>
      <c r="L123">
        <v>600</v>
      </c>
    </row>
    <row r="124" spans="1:12" ht="21">
      <c r="A124" t="s">
        <v>343</v>
      </c>
      <c r="C124">
        <v>1</v>
      </c>
      <c r="D124" t="s">
        <v>1240</v>
      </c>
      <c r="E124">
        <v>31</v>
      </c>
      <c r="F124">
        <v>23</v>
      </c>
      <c r="G124">
        <v>10.8</v>
      </c>
      <c r="H124">
        <v>22.68</v>
      </c>
      <c r="I124">
        <v>13</v>
      </c>
      <c r="J124">
        <v>10</v>
      </c>
      <c r="K124">
        <v>53.5</v>
      </c>
      <c r="L124">
        <v>535</v>
      </c>
    </row>
    <row r="125" spans="1:12" ht="21">
      <c r="A125" t="s">
        <v>1473</v>
      </c>
      <c r="C125">
        <v>1</v>
      </c>
      <c r="D125" t="s">
        <v>411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1</v>
      </c>
      <c r="K125">
        <v>500</v>
      </c>
      <c r="L125">
        <v>500</v>
      </c>
    </row>
    <row r="126" spans="1:12" ht="21">
      <c r="A126" t="s">
        <v>1474</v>
      </c>
      <c r="C126">
        <v>1</v>
      </c>
      <c r="D126" t="s">
        <v>411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500</v>
      </c>
      <c r="L126">
        <v>500</v>
      </c>
    </row>
    <row r="127" spans="1:12" ht="21">
      <c r="A127" t="s">
        <v>1475</v>
      </c>
      <c r="C127">
        <v>1</v>
      </c>
      <c r="D127" t="s">
        <v>411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1</v>
      </c>
      <c r="K127">
        <v>500</v>
      </c>
      <c r="L127">
        <v>500</v>
      </c>
    </row>
    <row r="128" spans="1:12" ht="21">
      <c r="A128" t="s">
        <v>278</v>
      </c>
      <c r="C128">
        <v>1</v>
      </c>
      <c r="D128" t="s">
        <v>1239</v>
      </c>
      <c r="E128">
        <v>306</v>
      </c>
      <c r="F128">
        <v>196</v>
      </c>
      <c r="G128">
        <v>129.60000000000002</v>
      </c>
      <c r="H128">
        <v>220</v>
      </c>
      <c r="I128">
        <v>60</v>
      </c>
      <c r="J128">
        <v>160</v>
      </c>
      <c r="K128">
        <v>3.1</v>
      </c>
      <c r="L128">
        <v>496</v>
      </c>
    </row>
    <row r="129" spans="1:12" ht="21">
      <c r="A129" t="s">
        <v>285</v>
      </c>
      <c r="C129">
        <v>1</v>
      </c>
      <c r="D129" t="s">
        <v>412</v>
      </c>
      <c r="E129">
        <v>310</v>
      </c>
      <c r="F129">
        <v>170</v>
      </c>
      <c r="G129">
        <v>240</v>
      </c>
      <c r="H129">
        <v>250</v>
      </c>
      <c r="I129">
        <v>100</v>
      </c>
      <c r="J129">
        <v>150</v>
      </c>
      <c r="K129">
        <v>3.21</v>
      </c>
      <c r="L129">
        <v>481.5</v>
      </c>
    </row>
    <row r="130" spans="1:12" ht="21">
      <c r="A130" t="s">
        <v>281</v>
      </c>
      <c r="C130">
        <v>1</v>
      </c>
      <c r="D130" t="s">
        <v>1239</v>
      </c>
      <c r="E130">
        <v>287</v>
      </c>
      <c r="F130">
        <v>354</v>
      </c>
      <c r="G130">
        <v>52.800000000000004</v>
      </c>
      <c r="H130">
        <v>250</v>
      </c>
      <c r="I130">
        <v>100</v>
      </c>
      <c r="J130">
        <v>150</v>
      </c>
      <c r="K130">
        <v>3.1</v>
      </c>
      <c r="L130">
        <v>465</v>
      </c>
    </row>
    <row r="131" spans="1:12" ht="21">
      <c r="A131" t="s">
        <v>311</v>
      </c>
      <c r="C131">
        <v>1</v>
      </c>
      <c r="D131" t="s">
        <v>1239</v>
      </c>
      <c r="E131">
        <v>6</v>
      </c>
      <c r="F131">
        <v>29</v>
      </c>
      <c r="G131">
        <v>20.4</v>
      </c>
      <c r="H131">
        <v>28</v>
      </c>
      <c r="I131">
        <v>8</v>
      </c>
      <c r="J131">
        <v>20</v>
      </c>
      <c r="K131">
        <v>23</v>
      </c>
      <c r="L131">
        <v>460</v>
      </c>
    </row>
    <row r="132" spans="1:12" ht="21">
      <c r="A132" t="s">
        <v>339</v>
      </c>
      <c r="C132">
        <v>1</v>
      </c>
      <c r="D132" t="s">
        <v>1239</v>
      </c>
      <c r="E132">
        <v>26</v>
      </c>
      <c r="F132">
        <v>22</v>
      </c>
      <c r="G132">
        <v>22.799999999999997</v>
      </c>
      <c r="H132">
        <v>30</v>
      </c>
      <c r="I132">
        <v>0</v>
      </c>
      <c r="J132">
        <v>30</v>
      </c>
      <c r="K132">
        <v>14</v>
      </c>
      <c r="L132">
        <v>420</v>
      </c>
    </row>
    <row r="133" spans="1:12" ht="21">
      <c r="A133" t="s">
        <v>290</v>
      </c>
      <c r="C133">
        <v>1</v>
      </c>
      <c r="D133" t="s">
        <v>411</v>
      </c>
      <c r="E133">
        <v>1</v>
      </c>
      <c r="F133">
        <v>3</v>
      </c>
      <c r="G133">
        <v>1.2000000000000002</v>
      </c>
      <c r="H133">
        <v>1.82</v>
      </c>
      <c r="I133">
        <v>1</v>
      </c>
      <c r="J133">
        <v>1</v>
      </c>
      <c r="K133">
        <v>380</v>
      </c>
      <c r="L133">
        <v>380</v>
      </c>
    </row>
    <row r="134" spans="1:12" ht="21">
      <c r="A134" t="s">
        <v>310</v>
      </c>
      <c r="C134">
        <v>1</v>
      </c>
      <c r="D134" t="s">
        <v>1239</v>
      </c>
      <c r="E134">
        <v>9</v>
      </c>
      <c r="F134">
        <v>0</v>
      </c>
      <c r="G134">
        <v>12</v>
      </c>
      <c r="H134">
        <v>20</v>
      </c>
      <c r="I134">
        <v>10</v>
      </c>
      <c r="J134">
        <v>10</v>
      </c>
      <c r="K134">
        <v>35</v>
      </c>
      <c r="L134">
        <v>350</v>
      </c>
    </row>
    <row r="135" spans="1:12" ht="21">
      <c r="A135" t="s">
        <v>330</v>
      </c>
      <c r="C135">
        <v>1</v>
      </c>
      <c r="D135" t="s">
        <v>411</v>
      </c>
      <c r="E135">
        <v>19</v>
      </c>
      <c r="F135">
        <v>16</v>
      </c>
      <c r="G135">
        <v>20.4</v>
      </c>
      <c r="H135">
        <v>22</v>
      </c>
      <c r="I135">
        <v>10</v>
      </c>
      <c r="J135">
        <v>12</v>
      </c>
      <c r="K135">
        <v>29</v>
      </c>
      <c r="L135">
        <v>348</v>
      </c>
    </row>
    <row r="136" spans="1:12" ht="21">
      <c r="A136" t="s">
        <v>356</v>
      </c>
      <c r="C136">
        <v>1</v>
      </c>
      <c r="D136" t="s">
        <v>411</v>
      </c>
      <c r="E136">
        <v>0</v>
      </c>
      <c r="F136">
        <v>1</v>
      </c>
      <c r="G136">
        <v>0</v>
      </c>
      <c r="H136">
        <v>2</v>
      </c>
      <c r="I136">
        <v>1</v>
      </c>
      <c r="J136">
        <v>1</v>
      </c>
      <c r="K136">
        <v>340</v>
      </c>
      <c r="L136">
        <v>340</v>
      </c>
    </row>
    <row r="137" spans="1:12" ht="21">
      <c r="A137" t="s">
        <v>258</v>
      </c>
      <c r="C137">
        <v>1</v>
      </c>
      <c r="D137" t="s">
        <v>1239</v>
      </c>
      <c r="E137">
        <v>23</v>
      </c>
      <c r="F137">
        <v>6</v>
      </c>
      <c r="G137">
        <v>6</v>
      </c>
      <c r="H137">
        <v>12.25</v>
      </c>
      <c r="I137">
        <v>6</v>
      </c>
      <c r="J137">
        <v>6</v>
      </c>
      <c r="K137">
        <v>50</v>
      </c>
      <c r="L137">
        <v>300</v>
      </c>
    </row>
    <row r="138" spans="1:12" ht="21">
      <c r="A138" t="s">
        <v>264</v>
      </c>
      <c r="C138">
        <v>1</v>
      </c>
      <c r="D138" t="s">
        <v>1239</v>
      </c>
      <c r="E138">
        <v>10</v>
      </c>
      <c r="F138">
        <v>8</v>
      </c>
      <c r="G138">
        <v>2.4000000000000004</v>
      </c>
      <c r="H138">
        <v>8</v>
      </c>
      <c r="I138">
        <v>2</v>
      </c>
      <c r="J138">
        <v>6</v>
      </c>
      <c r="K138">
        <v>50</v>
      </c>
      <c r="L138">
        <v>300</v>
      </c>
    </row>
    <row r="139" spans="1:12" ht="21">
      <c r="A139" t="s">
        <v>369</v>
      </c>
      <c r="C139">
        <v>1</v>
      </c>
      <c r="D139" t="s">
        <v>407</v>
      </c>
      <c r="E139">
        <v>0</v>
      </c>
      <c r="F139">
        <v>0</v>
      </c>
      <c r="G139">
        <v>0</v>
      </c>
      <c r="H139">
        <v>12</v>
      </c>
      <c r="I139">
        <v>0</v>
      </c>
      <c r="J139">
        <v>12</v>
      </c>
      <c r="K139">
        <v>25</v>
      </c>
      <c r="L139">
        <v>300</v>
      </c>
    </row>
    <row r="140" spans="1:12" ht="21">
      <c r="A140" t="s">
        <v>241</v>
      </c>
      <c r="C140">
        <v>1</v>
      </c>
      <c r="D140" t="s">
        <v>409</v>
      </c>
      <c r="E140">
        <v>0</v>
      </c>
      <c r="F140">
        <v>0</v>
      </c>
      <c r="G140">
        <v>12</v>
      </c>
      <c r="H140">
        <v>10</v>
      </c>
      <c r="I140">
        <v>0</v>
      </c>
      <c r="J140">
        <v>10</v>
      </c>
      <c r="K140">
        <v>28</v>
      </c>
      <c r="L140">
        <v>280</v>
      </c>
    </row>
    <row r="141" spans="1:12" ht="21">
      <c r="A141" t="s">
        <v>340</v>
      </c>
      <c r="C141">
        <v>1</v>
      </c>
      <c r="D141" t="s">
        <v>1239</v>
      </c>
      <c r="E141">
        <v>37</v>
      </c>
      <c r="F141">
        <v>57</v>
      </c>
      <c r="G141">
        <v>50.400000000000006</v>
      </c>
      <c r="H141">
        <v>58</v>
      </c>
      <c r="I141">
        <v>38</v>
      </c>
      <c r="J141">
        <v>20</v>
      </c>
      <c r="K141">
        <v>14</v>
      </c>
      <c r="L141">
        <v>280</v>
      </c>
    </row>
    <row r="142" spans="1:12" ht="21">
      <c r="A142" t="s">
        <v>335</v>
      </c>
      <c r="C142">
        <v>1</v>
      </c>
      <c r="D142" t="s">
        <v>1239</v>
      </c>
      <c r="E142">
        <v>8</v>
      </c>
      <c r="F142">
        <v>9</v>
      </c>
      <c r="G142">
        <v>13.200000000000001</v>
      </c>
      <c r="H142">
        <v>20</v>
      </c>
      <c r="I142">
        <v>0</v>
      </c>
      <c r="J142">
        <v>20</v>
      </c>
      <c r="K142">
        <v>14</v>
      </c>
      <c r="L142">
        <v>280</v>
      </c>
    </row>
    <row r="143" spans="1:12" ht="21">
      <c r="A143" t="s">
        <v>284</v>
      </c>
      <c r="C143">
        <v>1</v>
      </c>
      <c r="D143" t="s">
        <v>1239</v>
      </c>
      <c r="E143">
        <v>62</v>
      </c>
      <c r="F143">
        <v>131</v>
      </c>
      <c r="G143">
        <v>79.19999999999999</v>
      </c>
      <c r="H143">
        <v>93</v>
      </c>
      <c r="I143">
        <v>3</v>
      </c>
      <c r="J143">
        <v>90</v>
      </c>
      <c r="K143">
        <v>3.1</v>
      </c>
      <c r="L143">
        <v>279</v>
      </c>
    </row>
    <row r="144" spans="1:12" ht="21">
      <c r="A144" t="s">
        <v>249</v>
      </c>
      <c r="C144">
        <v>1</v>
      </c>
      <c r="D144" t="s">
        <v>407</v>
      </c>
      <c r="E144">
        <v>12</v>
      </c>
      <c r="F144">
        <v>0</v>
      </c>
      <c r="G144">
        <v>22.799999999999997</v>
      </c>
      <c r="H144">
        <v>12.18</v>
      </c>
      <c r="I144">
        <v>0</v>
      </c>
      <c r="J144">
        <v>12</v>
      </c>
      <c r="K144">
        <v>22.5</v>
      </c>
      <c r="L144">
        <v>270</v>
      </c>
    </row>
    <row r="145" spans="1:12" ht="21">
      <c r="A145" t="s">
        <v>255</v>
      </c>
      <c r="C145">
        <v>1</v>
      </c>
      <c r="D145" t="s">
        <v>1239</v>
      </c>
      <c r="E145">
        <v>10</v>
      </c>
      <c r="F145">
        <v>15</v>
      </c>
      <c r="G145">
        <v>6</v>
      </c>
      <c r="H145">
        <v>10.850000000000001</v>
      </c>
      <c r="I145">
        <v>5</v>
      </c>
      <c r="J145">
        <v>6</v>
      </c>
      <c r="K145">
        <v>40</v>
      </c>
      <c r="L145">
        <v>240</v>
      </c>
    </row>
    <row r="146" spans="1:12" ht="21">
      <c r="A146" t="s">
        <v>257</v>
      </c>
      <c r="C146">
        <v>1</v>
      </c>
      <c r="D146" t="s">
        <v>1239</v>
      </c>
      <c r="E146">
        <v>9</v>
      </c>
      <c r="F146">
        <v>3</v>
      </c>
      <c r="G146">
        <v>10.8</v>
      </c>
      <c r="H146">
        <v>7.980000000000001</v>
      </c>
      <c r="I146">
        <v>2</v>
      </c>
      <c r="J146">
        <v>6</v>
      </c>
      <c r="K146">
        <v>40</v>
      </c>
      <c r="L146">
        <v>240</v>
      </c>
    </row>
    <row r="147" spans="1:12" ht="21">
      <c r="A147" t="s">
        <v>247</v>
      </c>
      <c r="C147">
        <v>1</v>
      </c>
      <c r="D147" t="s">
        <v>407</v>
      </c>
      <c r="E147">
        <v>12</v>
      </c>
      <c r="F147">
        <v>0</v>
      </c>
      <c r="G147">
        <v>0</v>
      </c>
      <c r="H147">
        <v>12</v>
      </c>
      <c r="I147">
        <v>0</v>
      </c>
      <c r="J147">
        <v>12</v>
      </c>
      <c r="K147">
        <v>19.5</v>
      </c>
      <c r="L147">
        <v>234</v>
      </c>
    </row>
    <row r="148" spans="1:12" ht="21">
      <c r="A148" t="s">
        <v>248</v>
      </c>
      <c r="C148">
        <v>1</v>
      </c>
      <c r="D148" t="s">
        <v>407</v>
      </c>
      <c r="E148">
        <v>12</v>
      </c>
      <c r="F148">
        <v>0</v>
      </c>
      <c r="G148">
        <v>0</v>
      </c>
      <c r="H148">
        <v>12</v>
      </c>
      <c r="I148">
        <v>0</v>
      </c>
      <c r="J148">
        <v>12</v>
      </c>
      <c r="K148">
        <v>19.5</v>
      </c>
      <c r="L148">
        <v>234</v>
      </c>
    </row>
    <row r="149" spans="1:12" ht="21">
      <c r="A149" t="s">
        <v>250</v>
      </c>
      <c r="C149">
        <v>1</v>
      </c>
      <c r="D149" t="s">
        <v>407</v>
      </c>
      <c r="E149">
        <v>0</v>
      </c>
      <c r="F149">
        <v>12</v>
      </c>
      <c r="G149">
        <v>0</v>
      </c>
      <c r="H149">
        <v>12</v>
      </c>
      <c r="I149">
        <v>0</v>
      </c>
      <c r="J149">
        <v>12</v>
      </c>
      <c r="K149">
        <v>19.2</v>
      </c>
      <c r="L149">
        <v>230.39999999999998</v>
      </c>
    </row>
    <row r="150" spans="1:12" ht="21">
      <c r="A150" t="s">
        <v>514</v>
      </c>
      <c r="C150">
        <v>1</v>
      </c>
      <c r="D150" t="s">
        <v>1239</v>
      </c>
      <c r="E150">
        <v>0</v>
      </c>
      <c r="F150">
        <v>0</v>
      </c>
      <c r="G150">
        <v>12</v>
      </c>
      <c r="H150">
        <v>10</v>
      </c>
      <c r="I150">
        <v>0</v>
      </c>
      <c r="J150">
        <v>10</v>
      </c>
      <c r="K150">
        <v>23</v>
      </c>
      <c r="L150">
        <v>230</v>
      </c>
    </row>
    <row r="151" spans="1:12" ht="21">
      <c r="A151" t="s">
        <v>338</v>
      </c>
      <c r="C151">
        <v>1</v>
      </c>
      <c r="D151" t="s">
        <v>1239</v>
      </c>
      <c r="E151">
        <v>15</v>
      </c>
      <c r="F151">
        <v>13</v>
      </c>
      <c r="G151">
        <v>8.399999999999999</v>
      </c>
      <c r="H151">
        <v>12</v>
      </c>
      <c r="I151">
        <v>0</v>
      </c>
      <c r="J151">
        <v>12</v>
      </c>
      <c r="K151">
        <v>14</v>
      </c>
      <c r="L151">
        <v>168</v>
      </c>
    </row>
    <row r="152" spans="1:12" ht="21">
      <c r="A152" t="s">
        <v>236</v>
      </c>
      <c r="C152">
        <v>1</v>
      </c>
      <c r="D152" t="s">
        <v>407</v>
      </c>
      <c r="E152">
        <v>8</v>
      </c>
      <c r="F152">
        <v>9</v>
      </c>
      <c r="G152">
        <v>1</v>
      </c>
      <c r="H152">
        <v>6.300000000000001</v>
      </c>
      <c r="I152">
        <v>2</v>
      </c>
      <c r="J152">
        <v>4.300000000000001</v>
      </c>
      <c r="K152">
        <v>37.5</v>
      </c>
      <c r="L152">
        <v>161.25000000000003</v>
      </c>
    </row>
    <row r="153" spans="1:12" ht="21">
      <c r="A153" t="s">
        <v>336</v>
      </c>
      <c r="C153">
        <v>1</v>
      </c>
      <c r="D153" t="s">
        <v>1239</v>
      </c>
      <c r="E153">
        <v>19</v>
      </c>
      <c r="F153">
        <v>15</v>
      </c>
      <c r="G153">
        <v>7.199999999999999</v>
      </c>
      <c r="H153">
        <v>20</v>
      </c>
      <c r="I153">
        <v>10</v>
      </c>
      <c r="J153">
        <v>10</v>
      </c>
      <c r="K153">
        <v>14</v>
      </c>
      <c r="L153">
        <v>140</v>
      </c>
    </row>
    <row r="154" spans="1:12" ht="21">
      <c r="A154" t="s">
        <v>1431</v>
      </c>
      <c r="C154">
        <v>1</v>
      </c>
      <c r="D154" t="s">
        <v>1348</v>
      </c>
      <c r="E154">
        <v>0</v>
      </c>
      <c r="F154">
        <v>0</v>
      </c>
      <c r="G154">
        <v>0</v>
      </c>
      <c r="H154">
        <v>20</v>
      </c>
      <c r="I154">
        <v>0</v>
      </c>
      <c r="J154">
        <v>20</v>
      </c>
      <c r="K154">
        <v>5.4</v>
      </c>
      <c r="L154">
        <v>108</v>
      </c>
    </row>
    <row r="155" spans="1:12" ht="21">
      <c r="A155" t="s">
        <v>579</v>
      </c>
      <c r="C155">
        <v>1</v>
      </c>
      <c r="D155" t="s">
        <v>1239</v>
      </c>
      <c r="E155">
        <v>50</v>
      </c>
      <c r="F155">
        <v>15</v>
      </c>
      <c r="G155">
        <v>24</v>
      </c>
      <c r="H155">
        <v>30</v>
      </c>
      <c r="I155">
        <v>20</v>
      </c>
      <c r="J155">
        <v>10</v>
      </c>
      <c r="K155">
        <v>3.1</v>
      </c>
      <c r="L155">
        <v>31</v>
      </c>
    </row>
    <row r="156" spans="1:12" ht="21">
      <c r="A156" t="s">
        <v>545</v>
      </c>
      <c r="C156">
        <v>1</v>
      </c>
      <c r="D156" t="s">
        <v>410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1926</v>
      </c>
      <c r="L156">
        <v>0</v>
      </c>
    </row>
    <row r="157" spans="1:12" ht="21">
      <c r="A157" t="s">
        <v>546</v>
      </c>
      <c r="C157">
        <v>1</v>
      </c>
      <c r="D157" t="s">
        <v>410</v>
      </c>
      <c r="E157">
        <v>9</v>
      </c>
      <c r="F157">
        <v>10</v>
      </c>
      <c r="G157">
        <v>7.199999999999999</v>
      </c>
      <c r="H157">
        <v>10</v>
      </c>
      <c r="I157">
        <v>14</v>
      </c>
      <c r="J157">
        <v>0</v>
      </c>
      <c r="K157">
        <v>1144.9</v>
      </c>
      <c r="L157">
        <v>0</v>
      </c>
    </row>
    <row r="158" spans="1:12" ht="21">
      <c r="A158" t="s">
        <v>238</v>
      </c>
      <c r="C158">
        <v>1</v>
      </c>
      <c r="D158" t="s">
        <v>407</v>
      </c>
      <c r="E158">
        <v>16</v>
      </c>
      <c r="F158">
        <v>12</v>
      </c>
      <c r="G158">
        <v>12</v>
      </c>
      <c r="H158">
        <v>14.000000000000002</v>
      </c>
      <c r="I158">
        <v>40</v>
      </c>
      <c r="J158">
        <v>0</v>
      </c>
      <c r="K158">
        <v>15</v>
      </c>
      <c r="L158">
        <v>0</v>
      </c>
    </row>
    <row r="159" spans="1:12" ht="21">
      <c r="A159" t="s">
        <v>239</v>
      </c>
      <c r="C159">
        <v>1</v>
      </c>
      <c r="D159" t="s">
        <v>409</v>
      </c>
      <c r="E159">
        <v>0</v>
      </c>
      <c r="F159">
        <v>0</v>
      </c>
      <c r="G159">
        <v>0</v>
      </c>
      <c r="H159">
        <v>0</v>
      </c>
      <c r="I159">
        <v>10</v>
      </c>
      <c r="J159">
        <v>0</v>
      </c>
      <c r="K159">
        <v>28</v>
      </c>
      <c r="L159">
        <v>0</v>
      </c>
    </row>
    <row r="160" spans="1:12" ht="21">
      <c r="A160" t="s">
        <v>240</v>
      </c>
      <c r="C160">
        <v>1</v>
      </c>
      <c r="D160" t="s">
        <v>409</v>
      </c>
      <c r="E160">
        <v>0</v>
      </c>
      <c r="F160">
        <v>0</v>
      </c>
      <c r="G160">
        <v>0</v>
      </c>
      <c r="H160">
        <v>0</v>
      </c>
      <c r="I160">
        <v>10</v>
      </c>
      <c r="J160">
        <v>0</v>
      </c>
      <c r="K160">
        <v>28</v>
      </c>
      <c r="L160">
        <v>0</v>
      </c>
    </row>
    <row r="161" spans="1:12" ht="21">
      <c r="A161" t="s">
        <v>242</v>
      </c>
      <c r="C161">
        <v>1</v>
      </c>
      <c r="D161" t="s">
        <v>409</v>
      </c>
      <c r="E161">
        <v>0</v>
      </c>
      <c r="F161">
        <v>0</v>
      </c>
      <c r="G161">
        <v>0</v>
      </c>
      <c r="H161">
        <v>0</v>
      </c>
      <c r="I161">
        <v>10</v>
      </c>
      <c r="J161">
        <v>0</v>
      </c>
      <c r="K161">
        <v>28</v>
      </c>
      <c r="L161">
        <v>0</v>
      </c>
    </row>
    <row r="162" spans="1:12" ht="21">
      <c r="A162" t="s">
        <v>243</v>
      </c>
      <c r="C162">
        <v>1</v>
      </c>
      <c r="D162" t="s">
        <v>409</v>
      </c>
      <c r="E162">
        <v>0</v>
      </c>
      <c r="F162">
        <v>0</v>
      </c>
      <c r="G162">
        <v>0</v>
      </c>
      <c r="H162">
        <v>0</v>
      </c>
      <c r="I162">
        <v>10</v>
      </c>
      <c r="J162">
        <v>0</v>
      </c>
      <c r="K162">
        <v>28</v>
      </c>
      <c r="L162">
        <v>0</v>
      </c>
    </row>
    <row r="163" spans="1:12" ht="21">
      <c r="A163" t="s">
        <v>244</v>
      </c>
      <c r="C163">
        <v>1</v>
      </c>
      <c r="D163" t="s">
        <v>407</v>
      </c>
      <c r="E163">
        <v>0</v>
      </c>
      <c r="F163">
        <v>0</v>
      </c>
      <c r="G163">
        <v>0</v>
      </c>
      <c r="H163">
        <v>0</v>
      </c>
      <c r="I163">
        <v>5</v>
      </c>
      <c r="J163">
        <v>0</v>
      </c>
      <c r="K163">
        <v>19.5</v>
      </c>
      <c r="L163">
        <v>0</v>
      </c>
    </row>
    <row r="164" spans="1:12" ht="21">
      <c r="A164" t="s">
        <v>245</v>
      </c>
      <c r="C164">
        <v>1</v>
      </c>
      <c r="D164" t="s">
        <v>407</v>
      </c>
      <c r="E164">
        <v>0</v>
      </c>
      <c r="F164">
        <v>0</v>
      </c>
      <c r="G164">
        <v>0</v>
      </c>
      <c r="H164">
        <v>0</v>
      </c>
      <c r="I164">
        <v>19</v>
      </c>
      <c r="J164">
        <v>0</v>
      </c>
      <c r="K164">
        <v>19.5</v>
      </c>
      <c r="L164">
        <v>0</v>
      </c>
    </row>
    <row r="165" spans="1:12" ht="21">
      <c r="A165" t="s">
        <v>246</v>
      </c>
      <c r="C165">
        <v>1</v>
      </c>
      <c r="D165" t="s">
        <v>407</v>
      </c>
      <c r="E165">
        <v>0</v>
      </c>
      <c r="F165">
        <v>0</v>
      </c>
      <c r="G165">
        <v>0</v>
      </c>
      <c r="H165">
        <v>0</v>
      </c>
      <c r="I165">
        <v>43</v>
      </c>
      <c r="J165">
        <v>0</v>
      </c>
      <c r="K165">
        <v>19.5</v>
      </c>
      <c r="L165">
        <v>0</v>
      </c>
    </row>
    <row r="166" spans="1:12" ht="21">
      <c r="A166" t="s">
        <v>252</v>
      </c>
      <c r="C166">
        <v>1</v>
      </c>
      <c r="D166" t="s">
        <v>411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170</v>
      </c>
      <c r="L166">
        <v>0</v>
      </c>
    </row>
    <row r="167" spans="1:12" ht="21">
      <c r="A167" t="s">
        <v>253</v>
      </c>
      <c r="C167">
        <v>1</v>
      </c>
      <c r="D167" t="s">
        <v>1239</v>
      </c>
      <c r="E167">
        <v>3</v>
      </c>
      <c r="F167">
        <v>19</v>
      </c>
      <c r="G167">
        <v>0</v>
      </c>
      <c r="H167">
        <v>7.7</v>
      </c>
      <c r="I167">
        <v>8</v>
      </c>
      <c r="J167">
        <v>0</v>
      </c>
      <c r="K167">
        <v>40</v>
      </c>
      <c r="L167">
        <v>0</v>
      </c>
    </row>
    <row r="168" spans="1:12" ht="21">
      <c r="A168" t="s">
        <v>254</v>
      </c>
      <c r="C168">
        <v>1</v>
      </c>
      <c r="D168" t="s">
        <v>1239</v>
      </c>
      <c r="E168">
        <v>10</v>
      </c>
      <c r="F168">
        <v>7</v>
      </c>
      <c r="G168">
        <v>1.2000000000000002</v>
      </c>
      <c r="H168">
        <v>6.37</v>
      </c>
      <c r="I168">
        <v>10</v>
      </c>
      <c r="J168">
        <v>0</v>
      </c>
      <c r="K168">
        <v>40</v>
      </c>
      <c r="L168">
        <v>0</v>
      </c>
    </row>
    <row r="169" spans="1:12" ht="21">
      <c r="A169" t="s">
        <v>256</v>
      </c>
      <c r="C169">
        <v>1</v>
      </c>
      <c r="D169" t="s">
        <v>1239</v>
      </c>
      <c r="E169">
        <v>9</v>
      </c>
      <c r="F169">
        <v>5</v>
      </c>
      <c r="G169">
        <v>8.399999999999999</v>
      </c>
      <c r="H169">
        <v>7.84</v>
      </c>
      <c r="I169">
        <v>10</v>
      </c>
      <c r="J169">
        <v>0</v>
      </c>
      <c r="K169">
        <v>40</v>
      </c>
      <c r="L169">
        <v>0</v>
      </c>
    </row>
    <row r="170" spans="1:12" ht="21">
      <c r="A170" t="s">
        <v>259</v>
      </c>
      <c r="C170">
        <v>1</v>
      </c>
      <c r="D170" t="s">
        <v>1239</v>
      </c>
      <c r="E170">
        <v>14</v>
      </c>
      <c r="F170">
        <v>9</v>
      </c>
      <c r="G170">
        <v>2.4000000000000004</v>
      </c>
      <c r="H170">
        <v>8.89</v>
      </c>
      <c r="I170">
        <v>12</v>
      </c>
      <c r="J170">
        <v>0</v>
      </c>
      <c r="K170">
        <v>50</v>
      </c>
      <c r="L170">
        <v>0</v>
      </c>
    </row>
    <row r="171" spans="1:12" ht="21">
      <c r="A171" t="s">
        <v>268</v>
      </c>
      <c r="C171">
        <v>1</v>
      </c>
      <c r="D171" t="s">
        <v>552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200</v>
      </c>
      <c r="L171">
        <v>0</v>
      </c>
    </row>
    <row r="172" spans="1:12" ht="21">
      <c r="A172" t="s">
        <v>269</v>
      </c>
      <c r="C172">
        <v>1</v>
      </c>
      <c r="D172" t="s">
        <v>552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200</v>
      </c>
      <c r="L172">
        <v>0</v>
      </c>
    </row>
    <row r="173" spans="1:12" ht="21">
      <c r="A173" t="s">
        <v>270</v>
      </c>
      <c r="C173">
        <v>1</v>
      </c>
      <c r="D173" t="s">
        <v>409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45</v>
      </c>
      <c r="L173">
        <v>0</v>
      </c>
    </row>
    <row r="174" spans="1:12" ht="21">
      <c r="A174" t="s">
        <v>271</v>
      </c>
      <c r="C174">
        <v>1</v>
      </c>
      <c r="D174" t="s">
        <v>409</v>
      </c>
      <c r="E174">
        <v>6</v>
      </c>
      <c r="F174">
        <v>35</v>
      </c>
      <c r="G174">
        <v>6</v>
      </c>
      <c r="H174">
        <v>50</v>
      </c>
      <c r="I174">
        <v>69</v>
      </c>
      <c r="J174">
        <v>0</v>
      </c>
      <c r="K174">
        <v>26</v>
      </c>
      <c r="L174">
        <v>0</v>
      </c>
    </row>
    <row r="175" spans="1:12" ht="21">
      <c r="A175" t="s">
        <v>272</v>
      </c>
      <c r="C175">
        <v>1</v>
      </c>
      <c r="D175" t="s">
        <v>407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25</v>
      </c>
      <c r="L175">
        <v>0</v>
      </c>
    </row>
    <row r="176" spans="1:12" ht="21">
      <c r="A176" t="s">
        <v>273</v>
      </c>
      <c r="C176">
        <v>1</v>
      </c>
      <c r="D176" t="s">
        <v>407</v>
      </c>
      <c r="E176">
        <v>0</v>
      </c>
      <c r="F176">
        <v>0</v>
      </c>
      <c r="G176">
        <v>0</v>
      </c>
      <c r="H176">
        <v>0</v>
      </c>
      <c r="I176">
        <v>216</v>
      </c>
      <c r="J176">
        <v>0</v>
      </c>
      <c r="K176">
        <v>25</v>
      </c>
      <c r="L176">
        <v>0</v>
      </c>
    </row>
    <row r="177" spans="1:12" ht="21">
      <c r="A177" t="s">
        <v>274</v>
      </c>
      <c r="C177">
        <v>1</v>
      </c>
      <c r="D177" t="s">
        <v>407</v>
      </c>
      <c r="E177">
        <v>0</v>
      </c>
      <c r="F177">
        <v>0</v>
      </c>
      <c r="G177">
        <v>0</v>
      </c>
      <c r="H177">
        <v>0</v>
      </c>
      <c r="I177">
        <v>7</v>
      </c>
      <c r="J177">
        <v>0</v>
      </c>
      <c r="K177">
        <v>25</v>
      </c>
      <c r="L177">
        <v>0</v>
      </c>
    </row>
    <row r="178" spans="1:12" ht="21">
      <c r="A178" t="s">
        <v>275</v>
      </c>
      <c r="C178">
        <v>1</v>
      </c>
      <c r="D178" t="s">
        <v>407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25</v>
      </c>
      <c r="L178">
        <v>0</v>
      </c>
    </row>
    <row r="179" spans="1:12" ht="21">
      <c r="A179" t="s">
        <v>276</v>
      </c>
      <c r="C179">
        <v>1</v>
      </c>
      <c r="D179" t="s">
        <v>407</v>
      </c>
      <c r="E179">
        <v>0</v>
      </c>
      <c r="F179">
        <v>0</v>
      </c>
      <c r="G179">
        <v>0</v>
      </c>
      <c r="H179">
        <v>0</v>
      </c>
      <c r="I179">
        <v>57</v>
      </c>
      <c r="J179">
        <v>0</v>
      </c>
      <c r="K179">
        <v>25</v>
      </c>
      <c r="L179">
        <v>0</v>
      </c>
    </row>
    <row r="180" spans="1:12" ht="21">
      <c r="A180" t="s">
        <v>1469</v>
      </c>
      <c r="C180">
        <v>1</v>
      </c>
      <c r="D180" t="s">
        <v>410</v>
      </c>
      <c r="E180">
        <v>0</v>
      </c>
      <c r="F180">
        <v>0</v>
      </c>
      <c r="G180">
        <v>0</v>
      </c>
      <c r="H180">
        <v>1</v>
      </c>
      <c r="I180">
        <v>1</v>
      </c>
      <c r="J180">
        <v>0</v>
      </c>
      <c r="K180">
        <v>6500</v>
      </c>
      <c r="L180">
        <v>0</v>
      </c>
    </row>
    <row r="181" spans="1:12" ht="21">
      <c r="A181" t="s">
        <v>425</v>
      </c>
      <c r="C181">
        <v>1</v>
      </c>
      <c r="D181" t="s">
        <v>412</v>
      </c>
      <c r="E181">
        <v>110</v>
      </c>
      <c r="F181">
        <v>0</v>
      </c>
      <c r="G181">
        <v>0</v>
      </c>
      <c r="H181">
        <v>38.5</v>
      </c>
      <c r="I181">
        <v>90</v>
      </c>
      <c r="J181">
        <v>0</v>
      </c>
      <c r="K181">
        <v>3.21</v>
      </c>
      <c r="L181">
        <v>0</v>
      </c>
    </row>
    <row r="182" spans="1:12" ht="21">
      <c r="A182" t="s">
        <v>289</v>
      </c>
      <c r="C182">
        <v>1</v>
      </c>
      <c r="D182" t="s">
        <v>407</v>
      </c>
      <c r="E182">
        <v>1</v>
      </c>
      <c r="F182">
        <v>24</v>
      </c>
      <c r="G182">
        <v>19.200000000000003</v>
      </c>
      <c r="H182">
        <v>20</v>
      </c>
      <c r="I182">
        <v>20</v>
      </c>
      <c r="J182">
        <v>0</v>
      </c>
      <c r="K182">
        <v>68</v>
      </c>
      <c r="L182">
        <v>0</v>
      </c>
    </row>
    <row r="183" spans="1:12" ht="21">
      <c r="A183" t="s">
        <v>292</v>
      </c>
      <c r="C183">
        <v>1</v>
      </c>
      <c r="D183" t="s">
        <v>412</v>
      </c>
      <c r="E183">
        <v>36</v>
      </c>
      <c r="F183">
        <v>50</v>
      </c>
      <c r="G183">
        <v>28.799999999999997</v>
      </c>
      <c r="H183">
        <v>40.18</v>
      </c>
      <c r="I183">
        <v>53</v>
      </c>
      <c r="J183">
        <v>0</v>
      </c>
      <c r="K183">
        <v>10</v>
      </c>
      <c r="L183">
        <v>0</v>
      </c>
    </row>
    <row r="184" spans="1:12" ht="21">
      <c r="A184" t="s">
        <v>293</v>
      </c>
      <c r="C184">
        <v>1</v>
      </c>
      <c r="D184" t="s">
        <v>412</v>
      </c>
      <c r="E184">
        <v>0</v>
      </c>
      <c r="F184">
        <v>3</v>
      </c>
      <c r="G184">
        <v>0</v>
      </c>
      <c r="H184">
        <v>12</v>
      </c>
      <c r="I184">
        <v>21</v>
      </c>
      <c r="J184">
        <v>0</v>
      </c>
      <c r="K184">
        <v>3</v>
      </c>
      <c r="L184">
        <v>0</v>
      </c>
    </row>
    <row r="185" spans="1:12" ht="21">
      <c r="A185" t="s">
        <v>294</v>
      </c>
      <c r="C185">
        <v>1</v>
      </c>
      <c r="D185" t="s">
        <v>407</v>
      </c>
      <c r="E185">
        <v>26400</v>
      </c>
      <c r="F185">
        <v>26400</v>
      </c>
      <c r="G185">
        <v>20040</v>
      </c>
      <c r="H185">
        <v>25494</v>
      </c>
      <c r="I185">
        <v>17400</v>
      </c>
      <c r="J185">
        <v>0</v>
      </c>
      <c r="K185">
        <v>2.6</v>
      </c>
      <c r="L185">
        <v>0</v>
      </c>
    </row>
    <row r="186" spans="1:12" ht="21">
      <c r="A186" t="s">
        <v>547</v>
      </c>
      <c r="C186">
        <v>1</v>
      </c>
      <c r="D186" t="s">
        <v>407</v>
      </c>
      <c r="E186">
        <v>27</v>
      </c>
      <c r="F186">
        <v>29</v>
      </c>
      <c r="G186">
        <v>6</v>
      </c>
      <c r="H186">
        <v>21.700000000000003</v>
      </c>
      <c r="I186">
        <v>18</v>
      </c>
      <c r="J186">
        <v>0</v>
      </c>
      <c r="K186">
        <v>856</v>
      </c>
      <c r="L186">
        <v>0</v>
      </c>
    </row>
    <row r="187" spans="1:12" ht="21">
      <c r="A187" t="s">
        <v>1491</v>
      </c>
      <c r="C187">
        <v>1</v>
      </c>
      <c r="D187" t="s">
        <v>407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1.5</v>
      </c>
      <c r="L187">
        <v>0</v>
      </c>
    </row>
    <row r="188" spans="1:12" ht="21">
      <c r="A188" t="s">
        <v>296</v>
      </c>
      <c r="C188">
        <v>1</v>
      </c>
      <c r="D188" t="s">
        <v>409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91.8412</v>
      </c>
      <c r="L188">
        <v>0</v>
      </c>
    </row>
    <row r="189" spans="1:12" ht="21">
      <c r="A189" t="s">
        <v>303</v>
      </c>
      <c r="C189">
        <v>1</v>
      </c>
      <c r="D189" t="s">
        <v>409</v>
      </c>
      <c r="E189">
        <v>35</v>
      </c>
      <c r="F189">
        <v>36</v>
      </c>
      <c r="G189">
        <v>0</v>
      </c>
      <c r="H189">
        <v>24</v>
      </c>
      <c r="I189">
        <v>0</v>
      </c>
      <c r="J189">
        <v>0</v>
      </c>
      <c r="K189">
        <v>61.974000000000004</v>
      </c>
      <c r="L189">
        <v>0</v>
      </c>
    </row>
    <row r="190" spans="1:12" ht="21">
      <c r="A190" t="s">
        <v>309</v>
      </c>
      <c r="C190">
        <v>1</v>
      </c>
      <c r="D190" t="s">
        <v>1239</v>
      </c>
      <c r="E190">
        <v>7</v>
      </c>
      <c r="F190">
        <v>16</v>
      </c>
      <c r="G190">
        <v>20</v>
      </c>
      <c r="H190">
        <v>20</v>
      </c>
      <c r="I190">
        <v>41</v>
      </c>
      <c r="J190">
        <v>0</v>
      </c>
      <c r="K190">
        <v>35</v>
      </c>
      <c r="L190">
        <v>0</v>
      </c>
    </row>
    <row r="191" spans="1:12" ht="21">
      <c r="A191" t="s">
        <v>315</v>
      </c>
      <c r="C191">
        <v>1</v>
      </c>
      <c r="D191" t="s">
        <v>411</v>
      </c>
      <c r="E191">
        <v>5</v>
      </c>
      <c r="F191">
        <v>6</v>
      </c>
      <c r="G191">
        <v>8.399999999999999</v>
      </c>
      <c r="H191">
        <v>6.789999999999999</v>
      </c>
      <c r="I191">
        <v>7</v>
      </c>
      <c r="J191">
        <v>0</v>
      </c>
      <c r="K191">
        <v>250</v>
      </c>
      <c r="L191">
        <v>0</v>
      </c>
    </row>
    <row r="192" spans="1:12" ht="21">
      <c r="A192" t="s">
        <v>316</v>
      </c>
      <c r="C192">
        <v>1</v>
      </c>
      <c r="D192" t="s">
        <v>411</v>
      </c>
      <c r="E192">
        <v>0</v>
      </c>
      <c r="F192">
        <v>0</v>
      </c>
      <c r="G192">
        <v>0</v>
      </c>
      <c r="H192">
        <v>0</v>
      </c>
      <c r="I192">
        <v>3</v>
      </c>
      <c r="J192">
        <v>0</v>
      </c>
      <c r="K192">
        <v>950</v>
      </c>
      <c r="L192">
        <v>0</v>
      </c>
    </row>
    <row r="193" spans="1:12" ht="21">
      <c r="A193" t="s">
        <v>1433</v>
      </c>
      <c r="C193">
        <v>1</v>
      </c>
      <c r="D193" t="s">
        <v>411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25</v>
      </c>
      <c r="L193">
        <v>0</v>
      </c>
    </row>
    <row r="194" spans="1:12" ht="21">
      <c r="A194" t="s">
        <v>1434</v>
      </c>
      <c r="C194">
        <v>1</v>
      </c>
      <c r="D194" t="s">
        <v>411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25</v>
      </c>
      <c r="L194">
        <v>0</v>
      </c>
    </row>
    <row r="195" spans="1:12" ht="21">
      <c r="A195" t="s">
        <v>429</v>
      </c>
      <c r="C195">
        <v>1</v>
      </c>
      <c r="D195" t="s">
        <v>411</v>
      </c>
      <c r="E195">
        <v>13</v>
      </c>
      <c r="F195">
        <v>0</v>
      </c>
      <c r="G195">
        <v>4.800000000000001</v>
      </c>
      <c r="H195">
        <v>6.23</v>
      </c>
      <c r="I195">
        <v>20</v>
      </c>
      <c r="J195">
        <v>0</v>
      </c>
      <c r="K195">
        <v>14.25</v>
      </c>
      <c r="L195">
        <v>0</v>
      </c>
    </row>
    <row r="196" spans="1:12" ht="21">
      <c r="A196" t="s">
        <v>337</v>
      </c>
      <c r="C196">
        <v>1</v>
      </c>
      <c r="D196" t="s">
        <v>1239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14</v>
      </c>
      <c r="L196">
        <v>0</v>
      </c>
    </row>
    <row r="197" spans="1:12" ht="21">
      <c r="A197" t="s">
        <v>334</v>
      </c>
      <c r="C197">
        <v>1</v>
      </c>
      <c r="D197" t="s">
        <v>1239</v>
      </c>
      <c r="E197">
        <v>5</v>
      </c>
      <c r="F197">
        <v>9</v>
      </c>
      <c r="G197">
        <v>7.199999999999999</v>
      </c>
      <c r="H197">
        <v>7.42</v>
      </c>
      <c r="I197">
        <v>7</v>
      </c>
      <c r="J197">
        <v>0</v>
      </c>
      <c r="K197">
        <v>14</v>
      </c>
      <c r="L197">
        <v>0</v>
      </c>
    </row>
    <row r="198" spans="1:12" ht="21">
      <c r="A198" t="s">
        <v>574</v>
      </c>
      <c r="C198">
        <v>1</v>
      </c>
      <c r="D198" t="s">
        <v>1240</v>
      </c>
      <c r="E198">
        <v>56</v>
      </c>
      <c r="F198">
        <v>83</v>
      </c>
      <c r="G198">
        <v>0</v>
      </c>
      <c r="H198">
        <v>0</v>
      </c>
      <c r="I198">
        <v>0</v>
      </c>
      <c r="J198">
        <v>0</v>
      </c>
      <c r="K198">
        <v>53.5</v>
      </c>
      <c r="L198">
        <v>0</v>
      </c>
    </row>
    <row r="199" spans="1:12" ht="21">
      <c r="A199" t="s">
        <v>413</v>
      </c>
      <c r="C199">
        <v>1</v>
      </c>
      <c r="D199" t="s">
        <v>409</v>
      </c>
      <c r="E199">
        <v>58</v>
      </c>
      <c r="F199">
        <v>0</v>
      </c>
      <c r="G199">
        <v>0</v>
      </c>
      <c r="H199">
        <v>0</v>
      </c>
      <c r="I199">
        <v>14</v>
      </c>
      <c r="J199">
        <v>0</v>
      </c>
      <c r="K199">
        <v>90.95</v>
      </c>
      <c r="L199">
        <v>0</v>
      </c>
    </row>
    <row r="200" spans="1:12" ht="21">
      <c r="A200" t="s">
        <v>433</v>
      </c>
      <c r="C200">
        <v>1</v>
      </c>
      <c r="D200" t="s">
        <v>409</v>
      </c>
      <c r="E200">
        <v>4</v>
      </c>
      <c r="F200">
        <v>8</v>
      </c>
      <c r="G200">
        <v>24</v>
      </c>
      <c r="H200">
        <v>0</v>
      </c>
      <c r="I200">
        <v>18</v>
      </c>
      <c r="J200">
        <v>0</v>
      </c>
      <c r="K200">
        <v>7.5</v>
      </c>
      <c r="L200">
        <v>0</v>
      </c>
    </row>
    <row r="201" spans="1:12" ht="21">
      <c r="A201" t="s">
        <v>351</v>
      </c>
      <c r="C201">
        <v>1</v>
      </c>
      <c r="D201" t="s">
        <v>409</v>
      </c>
      <c r="E201">
        <v>8</v>
      </c>
      <c r="F201">
        <v>29</v>
      </c>
      <c r="G201">
        <v>0</v>
      </c>
      <c r="H201">
        <v>0</v>
      </c>
      <c r="I201">
        <v>0</v>
      </c>
      <c r="J201">
        <v>0</v>
      </c>
      <c r="K201">
        <v>7.5</v>
      </c>
      <c r="L201">
        <v>0</v>
      </c>
    </row>
    <row r="202" spans="1:12" ht="21">
      <c r="A202" t="s">
        <v>575</v>
      </c>
      <c r="C202">
        <v>1</v>
      </c>
      <c r="D202" t="s">
        <v>409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7.5</v>
      </c>
      <c r="L202">
        <v>0</v>
      </c>
    </row>
    <row r="203" spans="1:12" ht="21">
      <c r="A203" t="s">
        <v>352</v>
      </c>
      <c r="C203">
        <v>1</v>
      </c>
      <c r="D203" t="s">
        <v>409</v>
      </c>
      <c r="E203">
        <v>17</v>
      </c>
      <c r="F203">
        <v>13</v>
      </c>
      <c r="G203">
        <v>0</v>
      </c>
      <c r="H203">
        <v>0</v>
      </c>
      <c r="I203">
        <v>0</v>
      </c>
      <c r="J203">
        <v>0</v>
      </c>
      <c r="K203">
        <v>7.5</v>
      </c>
      <c r="L203">
        <v>0</v>
      </c>
    </row>
    <row r="204" spans="1:12" ht="21">
      <c r="A204" t="s">
        <v>354</v>
      </c>
      <c r="C204">
        <v>1</v>
      </c>
      <c r="D204" t="s">
        <v>409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7.5</v>
      </c>
      <c r="L204">
        <v>0</v>
      </c>
    </row>
    <row r="205" spans="1:12" ht="21">
      <c r="A205" t="s">
        <v>353</v>
      </c>
      <c r="C205">
        <v>1</v>
      </c>
      <c r="D205" t="s">
        <v>409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7.5</v>
      </c>
      <c r="L205">
        <v>0</v>
      </c>
    </row>
    <row r="206" spans="1:12" ht="21">
      <c r="A206" t="s">
        <v>576</v>
      </c>
      <c r="C206">
        <v>1</v>
      </c>
      <c r="D206" t="s">
        <v>409</v>
      </c>
      <c r="E206">
        <v>140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90</v>
      </c>
      <c r="L206">
        <v>0</v>
      </c>
    </row>
    <row r="207" spans="1:12" ht="21">
      <c r="A207" t="s">
        <v>358</v>
      </c>
      <c r="C207">
        <v>1</v>
      </c>
      <c r="D207" t="s">
        <v>407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48</v>
      </c>
      <c r="L207">
        <v>0</v>
      </c>
    </row>
    <row r="208" spans="1:12" ht="21">
      <c r="A208" t="s">
        <v>359</v>
      </c>
      <c r="C208">
        <v>1</v>
      </c>
      <c r="D208" t="s">
        <v>407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48</v>
      </c>
      <c r="L208">
        <v>0</v>
      </c>
    </row>
    <row r="209" spans="1:12" ht="21">
      <c r="A209" t="s">
        <v>360</v>
      </c>
      <c r="C209">
        <v>1</v>
      </c>
      <c r="D209" t="s">
        <v>407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48</v>
      </c>
      <c r="L209">
        <v>0</v>
      </c>
    </row>
    <row r="210" spans="1:12" ht="21">
      <c r="A210" t="s">
        <v>361</v>
      </c>
      <c r="C210">
        <v>1</v>
      </c>
      <c r="D210" t="s">
        <v>407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48</v>
      </c>
      <c r="L210">
        <v>0</v>
      </c>
    </row>
    <row r="211" spans="1:12" ht="21">
      <c r="A211" t="s">
        <v>544</v>
      </c>
      <c r="C211">
        <v>1</v>
      </c>
      <c r="D211" t="s">
        <v>1240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380</v>
      </c>
      <c r="L211">
        <v>0</v>
      </c>
    </row>
    <row r="212" spans="1:12" ht="21">
      <c r="A212" t="s">
        <v>1421</v>
      </c>
      <c r="C212">
        <v>1</v>
      </c>
      <c r="D212" t="s">
        <v>409</v>
      </c>
      <c r="E212">
        <v>0</v>
      </c>
      <c r="F212">
        <v>10</v>
      </c>
      <c r="G212">
        <v>43.2</v>
      </c>
      <c r="H212">
        <v>0</v>
      </c>
      <c r="I212">
        <v>168</v>
      </c>
      <c r="J212">
        <v>0</v>
      </c>
      <c r="K212">
        <v>85.83</v>
      </c>
      <c r="L212">
        <v>0</v>
      </c>
    </row>
    <row r="213" spans="1:12" ht="21">
      <c r="A213" t="s">
        <v>1426</v>
      </c>
      <c r="C213">
        <v>1</v>
      </c>
      <c r="D213" t="s">
        <v>409</v>
      </c>
      <c r="E213">
        <v>0</v>
      </c>
      <c r="F213">
        <v>0</v>
      </c>
      <c r="G213">
        <v>14</v>
      </c>
      <c r="H213">
        <v>0</v>
      </c>
      <c r="I213">
        <v>48</v>
      </c>
      <c r="J213">
        <v>0</v>
      </c>
      <c r="K213">
        <v>85.83</v>
      </c>
      <c r="L213">
        <v>0</v>
      </c>
    </row>
  </sheetData>
  <sheetProtection/>
  <autoFilter ref="A2:L2">
    <sortState ref="A3:L213">
      <sortCondition descending="1" sortBy="value" ref="L3:L21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65"/>
  <sheetViews>
    <sheetView zoomScale="110" zoomScaleNormal="110" zoomScalePageLayoutView="0" workbookViewId="0" topLeftCell="E1">
      <pane xSplit="5" ySplit="2" topLeftCell="J3" activePane="bottomRight" state="frozen"/>
      <selection pane="topLeft" activeCell="E1" sqref="E1"/>
      <selection pane="topRight" activeCell="J1" sqref="J1"/>
      <selection pane="bottomLeft" activeCell="E3" sqref="E3"/>
      <selection pane="bottomRight" activeCell="M64" sqref="M64"/>
    </sheetView>
  </sheetViews>
  <sheetFormatPr defaultColWidth="9.140625" defaultRowHeight="21.75"/>
  <cols>
    <col min="4" max="4" width="18.28125" style="0" customWidth="1"/>
    <col min="5" max="5" width="36.421875" style="0" customWidth="1"/>
    <col min="6" max="12" width="9.140625" style="0" customWidth="1"/>
    <col min="13" max="13" width="10.28125" style="31" customWidth="1"/>
    <col min="14" max="14" width="9.140625" style="68" customWidth="1"/>
    <col min="15" max="15" width="10.00390625" style="0" customWidth="1"/>
    <col min="17" max="17" width="13.8515625" style="0" customWidth="1"/>
    <col min="19" max="19" width="11.00390625" style="0" bestFit="1" customWidth="1"/>
    <col min="21" max="21" width="11.140625" style="0" customWidth="1"/>
    <col min="22" max="23" width="9.7109375" style="0" customWidth="1"/>
    <col min="24" max="24" width="10.00390625" style="0" customWidth="1"/>
    <col min="26" max="26" width="9.7109375" style="0" customWidth="1"/>
    <col min="28" max="28" width="5.57421875" style="0" customWidth="1"/>
    <col min="29" max="29" width="5.7109375" style="0" customWidth="1"/>
    <col min="34" max="36" width="10.28125" style="0" customWidth="1"/>
  </cols>
  <sheetData>
    <row r="1" spans="1:40" ht="21.75">
      <c r="A1" s="37" t="s">
        <v>1199</v>
      </c>
      <c r="B1" s="3" t="s">
        <v>2</v>
      </c>
      <c r="C1" s="8" t="s">
        <v>1200</v>
      </c>
      <c r="D1" s="78" t="s">
        <v>1201</v>
      </c>
      <c r="E1" s="6" t="s">
        <v>1285</v>
      </c>
      <c r="F1" s="6" t="s">
        <v>1295</v>
      </c>
      <c r="G1" s="6" t="s">
        <v>1202</v>
      </c>
      <c r="H1" s="1" t="s">
        <v>3</v>
      </c>
      <c r="I1" s="6" t="s">
        <v>1286</v>
      </c>
      <c r="J1" s="66"/>
      <c r="K1" s="70" t="s">
        <v>1205</v>
      </c>
      <c r="L1" s="27"/>
      <c r="M1" s="82" t="s">
        <v>0</v>
      </c>
      <c r="N1" s="69" t="s">
        <v>1214</v>
      </c>
      <c r="O1" s="82" t="s">
        <v>0</v>
      </c>
      <c r="P1" s="94" t="s">
        <v>1287</v>
      </c>
      <c r="Q1" s="100" t="s">
        <v>1288</v>
      </c>
      <c r="R1" s="2" t="s">
        <v>1289</v>
      </c>
      <c r="S1" s="4"/>
      <c r="T1" s="2" t="s">
        <v>1290</v>
      </c>
      <c r="U1" s="5"/>
      <c r="V1" s="2" t="s">
        <v>1291</v>
      </c>
      <c r="W1" s="106"/>
      <c r="X1" s="4"/>
      <c r="Y1" s="2" t="s">
        <v>1292</v>
      </c>
      <c r="Z1" s="5"/>
      <c r="AA1" s="54" t="s">
        <v>608</v>
      </c>
      <c r="AB1" s="73"/>
      <c r="AC1" s="73"/>
      <c r="AD1" s="75" t="s">
        <v>1318</v>
      </c>
      <c r="AE1" s="91" t="s">
        <v>3</v>
      </c>
      <c r="AF1" s="91" t="s">
        <v>1349</v>
      </c>
      <c r="AG1" s="25" t="s">
        <v>1297</v>
      </c>
      <c r="AH1" s="25" t="s">
        <v>6</v>
      </c>
      <c r="AI1" s="25" t="s">
        <v>1</v>
      </c>
      <c r="AJ1" s="25" t="s">
        <v>0</v>
      </c>
      <c r="AK1" s="63" t="s">
        <v>1307</v>
      </c>
      <c r="AL1" s="72" t="s">
        <v>1303</v>
      </c>
      <c r="AM1" s="25" t="s">
        <v>4</v>
      </c>
      <c r="AN1" s="25" t="s">
        <v>1304</v>
      </c>
    </row>
    <row r="2" spans="1:38" ht="21.75">
      <c r="A2" s="53"/>
      <c r="B2" s="59"/>
      <c r="C2" s="48"/>
      <c r="D2" s="79"/>
      <c r="E2" s="6"/>
      <c r="F2" s="6" t="s">
        <v>1294</v>
      </c>
      <c r="G2" s="6"/>
      <c r="H2" s="1"/>
      <c r="I2" s="6"/>
      <c r="J2" s="28">
        <v>2562</v>
      </c>
      <c r="K2" s="28">
        <v>2563</v>
      </c>
      <c r="L2" s="23">
        <v>2564</v>
      </c>
      <c r="M2" s="83" t="s">
        <v>1537</v>
      </c>
      <c r="N2" s="67" t="s">
        <v>4</v>
      </c>
      <c r="O2" s="83" t="s">
        <v>1538</v>
      </c>
      <c r="P2" s="95"/>
      <c r="Q2" s="101"/>
      <c r="R2" s="9" t="s">
        <v>5</v>
      </c>
      <c r="S2" s="1" t="s">
        <v>1208</v>
      </c>
      <c r="T2" s="1" t="s">
        <v>5</v>
      </c>
      <c r="U2" s="7" t="s">
        <v>1208</v>
      </c>
      <c r="V2" s="9" t="s">
        <v>5</v>
      </c>
      <c r="W2" s="9" t="s">
        <v>1401</v>
      </c>
      <c r="X2" s="1" t="s">
        <v>1208</v>
      </c>
      <c r="Y2" s="1" t="s">
        <v>5</v>
      </c>
      <c r="Z2" s="7" t="s">
        <v>1208</v>
      </c>
      <c r="AA2" s="48"/>
      <c r="AB2" s="11"/>
      <c r="AC2" s="11"/>
      <c r="AD2" s="68"/>
      <c r="AE2" s="90"/>
      <c r="AF2" s="90"/>
      <c r="AG2" s="25" t="s">
        <v>1494</v>
      </c>
      <c r="AH2" s="25" t="s">
        <v>1207</v>
      </c>
      <c r="AI2" s="25"/>
      <c r="AJ2" s="25" t="s">
        <v>1574</v>
      </c>
      <c r="AK2" s="63" t="s">
        <v>1308</v>
      </c>
      <c r="AL2" s="72"/>
    </row>
    <row r="3" spans="1:42" ht="21.75">
      <c r="A3" s="77"/>
      <c r="B3" s="109"/>
      <c r="C3" s="110"/>
      <c r="D3" s="111"/>
      <c r="E3" s="14" t="s">
        <v>1478</v>
      </c>
      <c r="F3" s="15" t="s">
        <v>1350</v>
      </c>
      <c r="G3" s="112" t="s">
        <v>1245</v>
      </c>
      <c r="H3" s="13">
        <v>30</v>
      </c>
      <c r="I3" s="13" t="s">
        <v>376</v>
      </c>
      <c r="J3" s="114">
        <v>16</v>
      </c>
      <c r="K3" s="108">
        <v>0</v>
      </c>
      <c r="L3" s="108">
        <f aca="true" t="shared" si="0" ref="L3:L16">AJ3</f>
        <v>24</v>
      </c>
      <c r="M3" s="124">
        <v>25</v>
      </c>
      <c r="N3" s="115"/>
      <c r="O3" s="50">
        <f>M3-N3</f>
        <v>25</v>
      </c>
      <c r="P3" s="98">
        <v>870.11</v>
      </c>
      <c r="Q3" s="49">
        <f>O3*P3</f>
        <v>21752.75</v>
      </c>
      <c r="R3" s="12"/>
      <c r="S3" s="116"/>
      <c r="T3" s="12"/>
      <c r="U3" s="117"/>
      <c r="V3" s="12"/>
      <c r="W3" s="12"/>
      <c r="X3" s="116"/>
      <c r="Y3" s="12"/>
      <c r="Z3" s="117"/>
      <c r="AA3" s="11"/>
      <c r="AB3" s="74"/>
      <c r="AC3" s="74"/>
      <c r="AD3" s="68"/>
      <c r="AE3" s="90"/>
      <c r="AF3" s="90"/>
      <c r="AG3">
        <v>20</v>
      </c>
      <c r="AH3">
        <v>17355.2</v>
      </c>
      <c r="AI3">
        <f>AH3/AG3</f>
        <v>867.76</v>
      </c>
      <c r="AJ3">
        <f aca="true" t="shared" si="1" ref="AJ3:AJ34">AG3/10*12</f>
        <v>24</v>
      </c>
      <c r="AK3" s="71"/>
      <c r="AL3" s="72"/>
      <c r="AM3" s="52"/>
      <c r="AO3" s="52"/>
      <c r="AP3" s="52"/>
    </row>
    <row r="4" spans="1:42" ht="21.75">
      <c r="A4" s="77"/>
      <c r="B4" s="109"/>
      <c r="C4" s="110"/>
      <c r="D4" s="111"/>
      <c r="E4" s="14" t="s">
        <v>1495</v>
      </c>
      <c r="F4" s="113">
        <v>1</v>
      </c>
      <c r="G4" s="112" t="s">
        <v>1245</v>
      </c>
      <c r="H4" s="13">
        <v>60</v>
      </c>
      <c r="I4" s="13" t="s">
        <v>376</v>
      </c>
      <c r="J4" s="29">
        <v>6</v>
      </c>
      <c r="K4" s="114">
        <v>17</v>
      </c>
      <c r="L4" s="108">
        <f t="shared" si="0"/>
        <v>14.399999999999999</v>
      </c>
      <c r="M4" s="124">
        <v>15</v>
      </c>
      <c r="N4" s="115"/>
      <c r="O4" s="50">
        <f aca="true" t="shared" si="2" ref="O4:O61">M4-N4</f>
        <v>15</v>
      </c>
      <c r="P4" s="98">
        <v>650.5600000000001</v>
      </c>
      <c r="Q4" s="49">
        <f aca="true" t="shared" si="3" ref="Q4:Q61">O4*P4</f>
        <v>9758.400000000001</v>
      </c>
      <c r="R4" s="12"/>
      <c r="S4" s="116"/>
      <c r="T4" s="12"/>
      <c r="U4" s="117"/>
      <c r="V4" s="12"/>
      <c r="W4" s="12"/>
      <c r="X4" s="116"/>
      <c r="Y4" s="12"/>
      <c r="Z4" s="117"/>
      <c r="AA4" s="11"/>
      <c r="AB4" s="74"/>
      <c r="AC4" s="74"/>
      <c r="AD4" s="68"/>
      <c r="AE4" s="90"/>
      <c r="AF4" s="90"/>
      <c r="AG4">
        <v>12</v>
      </c>
      <c r="AH4">
        <v>7806.719999999999</v>
      </c>
      <c r="AI4">
        <f aca="true" t="shared" si="4" ref="AI4:AI63">AH4/AG4</f>
        <v>650.56</v>
      </c>
      <c r="AJ4">
        <f t="shared" si="1"/>
        <v>14.399999999999999</v>
      </c>
      <c r="AK4" s="71"/>
      <c r="AL4" s="72"/>
      <c r="AM4" s="52"/>
      <c r="AO4" s="52"/>
      <c r="AP4" s="52"/>
    </row>
    <row r="5" spans="1:38" ht="21.75">
      <c r="A5" s="76">
        <v>10949</v>
      </c>
      <c r="B5" s="18">
        <v>36</v>
      </c>
      <c r="C5" s="34"/>
      <c r="D5" s="61"/>
      <c r="E5" s="58" t="s">
        <v>1446</v>
      </c>
      <c r="F5" s="62">
        <v>1</v>
      </c>
      <c r="G5" s="33" t="s">
        <v>1256</v>
      </c>
      <c r="H5" s="17">
        <v>1</v>
      </c>
      <c r="I5" s="17" t="s">
        <v>378</v>
      </c>
      <c r="J5" s="87">
        <v>0</v>
      </c>
      <c r="K5" s="43">
        <v>0</v>
      </c>
      <c r="L5" s="108">
        <f t="shared" si="0"/>
        <v>0</v>
      </c>
      <c r="M5" s="124">
        <v>0</v>
      </c>
      <c r="N5" s="104"/>
      <c r="O5" s="50">
        <f t="shared" si="2"/>
        <v>0</v>
      </c>
      <c r="P5" s="96">
        <v>664</v>
      </c>
      <c r="Q5" s="49">
        <f t="shared" si="3"/>
        <v>0</v>
      </c>
      <c r="R5" s="17"/>
      <c r="S5" s="19">
        <f aca="true" t="shared" si="5" ref="S5:S19">R5*P5</f>
        <v>0</v>
      </c>
      <c r="T5" s="44"/>
      <c r="U5" s="26">
        <f aca="true" t="shared" si="6" ref="U5:U19">T5*P5</f>
        <v>0</v>
      </c>
      <c r="V5" s="17"/>
      <c r="W5" s="17"/>
      <c r="X5" s="19">
        <f aca="true" t="shared" si="7" ref="X5:X21">V5*P5</f>
        <v>0</v>
      </c>
      <c r="Y5" s="44"/>
      <c r="Z5" s="26">
        <f aca="true" t="shared" si="8" ref="Z5:Z21">Y5*P5</f>
        <v>0</v>
      </c>
      <c r="AA5" s="34"/>
      <c r="AB5" s="74">
        <f aca="true" t="shared" si="9" ref="AB5:AB21">R5+T5+V5+Y5</f>
        <v>0</v>
      </c>
      <c r="AC5" s="74">
        <f aca="true" t="shared" si="10" ref="AC5:AC21">O5-AB5</f>
        <v>0</v>
      </c>
      <c r="AD5" s="68">
        <f aca="true" t="shared" si="11" ref="AD5:AD21">O5/4</f>
        <v>0</v>
      </c>
      <c r="AE5" s="90"/>
      <c r="AF5" s="90"/>
      <c r="AI5" t="e">
        <f t="shared" si="4"/>
        <v>#DIV/0!</v>
      </c>
      <c r="AJ5">
        <f t="shared" si="1"/>
        <v>0</v>
      </c>
      <c r="AK5" s="63"/>
      <c r="AL5" s="72"/>
    </row>
    <row r="6" spans="1:38" ht="21.75">
      <c r="A6" s="76">
        <v>10949</v>
      </c>
      <c r="B6" s="18">
        <v>37</v>
      </c>
      <c r="C6" s="34"/>
      <c r="D6" s="61"/>
      <c r="E6" s="58" t="s">
        <v>1445</v>
      </c>
      <c r="F6" s="62">
        <v>1</v>
      </c>
      <c r="G6" s="33" t="s">
        <v>1256</v>
      </c>
      <c r="H6" s="17">
        <v>1</v>
      </c>
      <c r="I6" s="17" t="s">
        <v>378</v>
      </c>
      <c r="J6" s="87">
        <v>0</v>
      </c>
      <c r="K6" s="43">
        <v>0</v>
      </c>
      <c r="L6" s="108">
        <f t="shared" si="0"/>
        <v>0</v>
      </c>
      <c r="M6" s="124">
        <v>0</v>
      </c>
      <c r="N6" s="104"/>
      <c r="O6" s="50">
        <f t="shared" si="2"/>
        <v>0</v>
      </c>
      <c r="P6" s="96">
        <v>664</v>
      </c>
      <c r="Q6" s="49">
        <f t="shared" si="3"/>
        <v>0</v>
      </c>
      <c r="R6" s="17"/>
      <c r="S6" s="19">
        <f t="shared" si="5"/>
        <v>0</v>
      </c>
      <c r="T6" s="44"/>
      <c r="U6" s="26">
        <f t="shared" si="6"/>
        <v>0</v>
      </c>
      <c r="V6" s="17"/>
      <c r="W6" s="17"/>
      <c r="X6" s="19">
        <f t="shared" si="7"/>
        <v>0</v>
      </c>
      <c r="Y6" s="44"/>
      <c r="Z6" s="26">
        <f t="shared" si="8"/>
        <v>0</v>
      </c>
      <c r="AA6" s="34"/>
      <c r="AB6" s="74">
        <f t="shared" si="9"/>
        <v>0</v>
      </c>
      <c r="AC6" s="74">
        <f t="shared" si="10"/>
        <v>0</v>
      </c>
      <c r="AD6" s="68">
        <f t="shared" si="11"/>
        <v>0</v>
      </c>
      <c r="AE6" s="90"/>
      <c r="AF6" s="90"/>
      <c r="AI6" t="e">
        <f t="shared" si="4"/>
        <v>#DIV/0!</v>
      </c>
      <c r="AJ6">
        <f t="shared" si="1"/>
        <v>0</v>
      </c>
      <c r="AK6" s="63"/>
      <c r="AL6" s="72"/>
    </row>
    <row r="7" spans="1:42" ht="21.75">
      <c r="A7" s="77"/>
      <c r="B7" s="109"/>
      <c r="C7" s="110"/>
      <c r="D7" s="111"/>
      <c r="E7" s="92" t="s">
        <v>1497</v>
      </c>
      <c r="F7" s="113">
        <v>1</v>
      </c>
      <c r="G7" s="112" t="s">
        <v>1245</v>
      </c>
      <c r="H7" s="13">
        <v>60</v>
      </c>
      <c r="I7" s="13" t="s">
        <v>376</v>
      </c>
      <c r="J7" s="29"/>
      <c r="K7" s="114">
        <v>13</v>
      </c>
      <c r="L7" s="108">
        <f t="shared" si="0"/>
        <v>7.199999999999999</v>
      </c>
      <c r="M7" s="124">
        <v>10</v>
      </c>
      <c r="N7" s="115"/>
      <c r="O7" s="50">
        <f t="shared" si="2"/>
        <v>10</v>
      </c>
      <c r="P7" s="50">
        <v>8360.11</v>
      </c>
      <c r="Q7" s="49">
        <f t="shared" si="3"/>
        <v>83601.1</v>
      </c>
      <c r="R7" s="12"/>
      <c r="S7" s="116"/>
      <c r="T7" s="12"/>
      <c r="U7" s="117"/>
      <c r="V7" s="12"/>
      <c r="W7" s="12"/>
      <c r="X7" s="116"/>
      <c r="Y7" s="12"/>
      <c r="Z7" s="117"/>
      <c r="AA7" s="11"/>
      <c r="AB7" s="74"/>
      <c r="AC7" s="74"/>
      <c r="AD7" s="68"/>
      <c r="AE7" s="90"/>
      <c r="AF7" s="90"/>
      <c r="AG7">
        <v>6</v>
      </c>
      <c r="AH7">
        <v>50160.66</v>
      </c>
      <c r="AI7">
        <f t="shared" si="4"/>
        <v>8360.11</v>
      </c>
      <c r="AJ7">
        <f t="shared" si="1"/>
        <v>7.199999999999999</v>
      </c>
      <c r="AK7" s="71"/>
      <c r="AL7" s="72"/>
      <c r="AM7" s="52"/>
      <c r="AO7" s="52"/>
      <c r="AP7" s="52"/>
    </row>
    <row r="8" spans="1:38" ht="21.75">
      <c r="A8" s="76">
        <v>10949</v>
      </c>
      <c r="B8" s="18">
        <v>38</v>
      </c>
      <c r="C8" s="34"/>
      <c r="D8" s="61"/>
      <c r="E8" s="58" t="s">
        <v>29</v>
      </c>
      <c r="F8" s="62">
        <v>1</v>
      </c>
      <c r="G8" s="33" t="s">
        <v>1248</v>
      </c>
      <c r="H8" s="17">
        <v>1</v>
      </c>
      <c r="I8" s="17" t="s">
        <v>377</v>
      </c>
      <c r="J8" s="87">
        <v>140</v>
      </c>
      <c r="K8" s="43">
        <v>190</v>
      </c>
      <c r="L8" s="108">
        <f t="shared" si="0"/>
        <v>168</v>
      </c>
      <c r="M8" s="124">
        <v>180</v>
      </c>
      <c r="N8" s="104">
        <v>70</v>
      </c>
      <c r="O8" s="50">
        <f t="shared" si="2"/>
        <v>110</v>
      </c>
      <c r="P8" s="96">
        <v>144.19866666666664</v>
      </c>
      <c r="Q8" s="49">
        <f t="shared" si="3"/>
        <v>15861.85333333333</v>
      </c>
      <c r="R8" s="17"/>
      <c r="S8" s="19">
        <f t="shared" si="5"/>
        <v>0</v>
      </c>
      <c r="T8" s="44"/>
      <c r="U8" s="26">
        <f t="shared" si="6"/>
        <v>0</v>
      </c>
      <c r="V8" s="17"/>
      <c r="W8" s="17"/>
      <c r="X8" s="19">
        <f t="shared" si="7"/>
        <v>0</v>
      </c>
      <c r="Y8" s="44"/>
      <c r="Z8" s="26">
        <f t="shared" si="8"/>
        <v>0</v>
      </c>
      <c r="AA8" s="34"/>
      <c r="AB8" s="74">
        <f t="shared" si="9"/>
        <v>0</v>
      </c>
      <c r="AC8" s="74">
        <f t="shared" si="10"/>
        <v>110</v>
      </c>
      <c r="AD8" s="68">
        <f t="shared" si="11"/>
        <v>27.5</v>
      </c>
      <c r="AE8" s="90"/>
      <c r="AF8" s="90"/>
      <c r="AG8">
        <v>140</v>
      </c>
      <c r="AH8">
        <v>22551.199999999993</v>
      </c>
      <c r="AI8">
        <f t="shared" si="4"/>
        <v>161.07999999999996</v>
      </c>
      <c r="AJ8">
        <f t="shared" si="1"/>
        <v>168</v>
      </c>
      <c r="AK8" s="63"/>
      <c r="AL8" s="72"/>
    </row>
    <row r="9" spans="1:38" ht="21.75">
      <c r="A9" s="76">
        <v>10949</v>
      </c>
      <c r="B9" s="18">
        <v>40</v>
      </c>
      <c r="C9" s="34"/>
      <c r="D9" s="61"/>
      <c r="E9" s="56" t="s">
        <v>907</v>
      </c>
      <c r="F9" s="15">
        <v>1</v>
      </c>
      <c r="G9" s="14" t="s">
        <v>1256</v>
      </c>
      <c r="H9" s="17">
        <v>1</v>
      </c>
      <c r="I9" s="17" t="s">
        <v>392</v>
      </c>
      <c r="J9" s="87">
        <v>0</v>
      </c>
      <c r="K9" s="43"/>
      <c r="L9" s="108">
        <f t="shared" si="0"/>
        <v>0</v>
      </c>
      <c r="M9" s="124">
        <v>0</v>
      </c>
      <c r="N9" s="104"/>
      <c r="O9" s="50">
        <f t="shared" si="2"/>
        <v>0</v>
      </c>
      <c r="P9" s="99">
        <v>664</v>
      </c>
      <c r="Q9" s="49">
        <f t="shared" si="3"/>
        <v>0</v>
      </c>
      <c r="R9" s="20"/>
      <c r="S9" s="20">
        <f t="shared" si="5"/>
        <v>0</v>
      </c>
      <c r="T9" s="20"/>
      <c r="U9" s="20">
        <f t="shared" si="6"/>
        <v>0</v>
      </c>
      <c r="V9" s="20"/>
      <c r="W9" s="20"/>
      <c r="X9" s="20">
        <f t="shared" si="7"/>
        <v>0</v>
      </c>
      <c r="Y9" s="20"/>
      <c r="Z9" s="20">
        <f t="shared" si="8"/>
        <v>0</v>
      </c>
      <c r="AA9" s="34"/>
      <c r="AB9" s="103">
        <f t="shared" si="9"/>
        <v>0</v>
      </c>
      <c r="AC9" s="74">
        <f t="shared" si="10"/>
        <v>0</v>
      </c>
      <c r="AD9" s="68">
        <f t="shared" si="11"/>
        <v>0</v>
      </c>
      <c r="AE9" s="90"/>
      <c r="AF9" s="90"/>
      <c r="AI9" t="e">
        <f t="shared" si="4"/>
        <v>#DIV/0!</v>
      </c>
      <c r="AJ9">
        <f t="shared" si="1"/>
        <v>0</v>
      </c>
      <c r="AK9" s="63"/>
      <c r="AL9" s="72"/>
    </row>
    <row r="10" spans="1:38" ht="21.75">
      <c r="A10" s="76">
        <v>10949</v>
      </c>
      <c r="B10" s="18">
        <v>41</v>
      </c>
      <c r="C10" s="34"/>
      <c r="D10" s="61"/>
      <c r="E10" s="56" t="s">
        <v>494</v>
      </c>
      <c r="F10" s="15">
        <v>1</v>
      </c>
      <c r="G10" s="14" t="s">
        <v>1245</v>
      </c>
      <c r="H10" s="17">
        <v>60</v>
      </c>
      <c r="I10" s="17" t="s">
        <v>376</v>
      </c>
      <c r="J10" s="88"/>
      <c r="K10" s="43"/>
      <c r="L10" s="108">
        <f t="shared" si="0"/>
        <v>0</v>
      </c>
      <c r="M10" s="124">
        <v>0</v>
      </c>
      <c r="N10" s="104"/>
      <c r="O10" s="50">
        <f t="shared" si="2"/>
        <v>0</v>
      </c>
      <c r="P10" s="97">
        <v>690</v>
      </c>
      <c r="Q10" s="49">
        <f t="shared" si="3"/>
        <v>0</v>
      </c>
      <c r="R10" s="17"/>
      <c r="S10" s="19">
        <f t="shared" si="5"/>
        <v>0</v>
      </c>
      <c r="T10" s="44"/>
      <c r="U10" s="26">
        <f t="shared" si="6"/>
        <v>0</v>
      </c>
      <c r="V10" s="17"/>
      <c r="W10" s="17"/>
      <c r="X10" s="19">
        <f t="shared" si="7"/>
        <v>0</v>
      </c>
      <c r="Y10" s="44"/>
      <c r="Z10" s="26">
        <f t="shared" si="8"/>
        <v>0</v>
      </c>
      <c r="AA10" s="34"/>
      <c r="AB10" s="74">
        <f t="shared" si="9"/>
        <v>0</v>
      </c>
      <c r="AC10" s="74">
        <f t="shared" si="10"/>
        <v>0</v>
      </c>
      <c r="AD10" s="68">
        <f t="shared" si="11"/>
        <v>0</v>
      </c>
      <c r="AE10" s="90"/>
      <c r="AF10" s="90"/>
      <c r="AI10" t="e">
        <f t="shared" si="4"/>
        <v>#DIV/0!</v>
      </c>
      <c r="AJ10">
        <f t="shared" si="1"/>
        <v>0</v>
      </c>
      <c r="AK10" s="63"/>
      <c r="AL10" s="72"/>
    </row>
    <row r="11" spans="1:38" ht="21.75">
      <c r="A11" s="76">
        <v>10949</v>
      </c>
      <c r="B11" s="18">
        <v>42</v>
      </c>
      <c r="C11" s="34"/>
      <c r="D11" s="61"/>
      <c r="E11" s="56" t="s">
        <v>1499</v>
      </c>
      <c r="F11" s="15">
        <v>1</v>
      </c>
      <c r="G11" s="14" t="s">
        <v>1248</v>
      </c>
      <c r="H11" s="17">
        <v>1</v>
      </c>
      <c r="I11" s="17" t="s">
        <v>392</v>
      </c>
      <c r="J11" s="86">
        <v>353</v>
      </c>
      <c r="K11" s="43">
        <v>338</v>
      </c>
      <c r="L11" s="108">
        <f t="shared" si="0"/>
        <v>198</v>
      </c>
      <c r="M11" s="124">
        <v>300</v>
      </c>
      <c r="N11" s="104">
        <v>30</v>
      </c>
      <c r="O11" s="50">
        <f t="shared" si="2"/>
        <v>270</v>
      </c>
      <c r="P11" s="98">
        <v>51.454545</v>
      </c>
      <c r="Q11" s="49">
        <f t="shared" si="3"/>
        <v>13892.72715</v>
      </c>
      <c r="R11" s="17"/>
      <c r="S11" s="19">
        <f t="shared" si="5"/>
        <v>0</v>
      </c>
      <c r="T11" s="44"/>
      <c r="U11" s="26">
        <f t="shared" si="6"/>
        <v>0</v>
      </c>
      <c r="V11" s="17"/>
      <c r="W11" s="17"/>
      <c r="X11" s="19">
        <f t="shared" si="7"/>
        <v>0</v>
      </c>
      <c r="Y11" s="44"/>
      <c r="Z11" s="26">
        <f t="shared" si="8"/>
        <v>0</v>
      </c>
      <c r="AA11" s="34"/>
      <c r="AB11" s="74">
        <f t="shared" si="9"/>
        <v>0</v>
      </c>
      <c r="AC11" s="74">
        <f t="shared" si="10"/>
        <v>270</v>
      </c>
      <c r="AD11" s="68">
        <f t="shared" si="11"/>
        <v>67.5</v>
      </c>
      <c r="AE11" s="90"/>
      <c r="AF11" s="90"/>
      <c r="AG11">
        <v>165</v>
      </c>
      <c r="AH11">
        <v>7308.749999999989</v>
      </c>
      <c r="AI11">
        <f t="shared" si="4"/>
        <v>44.29545454545448</v>
      </c>
      <c r="AJ11">
        <f t="shared" si="1"/>
        <v>198</v>
      </c>
      <c r="AK11" s="63"/>
      <c r="AL11" s="72"/>
    </row>
    <row r="12" spans="1:38" ht="21.75">
      <c r="A12" s="76">
        <v>10949</v>
      </c>
      <c r="B12" s="18">
        <v>43</v>
      </c>
      <c r="C12" s="34"/>
      <c r="D12" s="61"/>
      <c r="E12" s="56" t="s">
        <v>416</v>
      </c>
      <c r="F12" s="15">
        <v>1</v>
      </c>
      <c r="G12" s="14" t="s">
        <v>1248</v>
      </c>
      <c r="H12" s="17">
        <v>1</v>
      </c>
      <c r="I12" s="17" t="s">
        <v>392</v>
      </c>
      <c r="J12" s="87">
        <v>2578</v>
      </c>
      <c r="K12" s="43"/>
      <c r="L12" s="108">
        <f t="shared" si="0"/>
        <v>0</v>
      </c>
      <c r="M12" s="124">
        <v>0</v>
      </c>
      <c r="N12" s="104">
        <v>32</v>
      </c>
      <c r="O12" s="50">
        <v>0</v>
      </c>
      <c r="P12" s="96">
        <v>444.089999999999</v>
      </c>
      <c r="Q12" s="49">
        <f t="shared" si="3"/>
        <v>0</v>
      </c>
      <c r="R12" s="17"/>
      <c r="S12" s="19">
        <f t="shared" si="5"/>
        <v>0</v>
      </c>
      <c r="T12" s="44"/>
      <c r="U12" s="26">
        <f t="shared" si="6"/>
        <v>0</v>
      </c>
      <c r="V12" s="17"/>
      <c r="W12" s="17"/>
      <c r="X12" s="19">
        <f t="shared" si="7"/>
        <v>0</v>
      </c>
      <c r="Y12" s="44"/>
      <c r="Z12" s="26">
        <f t="shared" si="8"/>
        <v>0</v>
      </c>
      <c r="AA12" s="34"/>
      <c r="AB12" s="74">
        <f t="shared" si="9"/>
        <v>0</v>
      </c>
      <c r="AC12" s="74">
        <f t="shared" si="10"/>
        <v>0</v>
      </c>
      <c r="AD12" s="68">
        <f t="shared" si="11"/>
        <v>0</v>
      </c>
      <c r="AE12" s="90"/>
      <c r="AF12" s="90"/>
      <c r="AI12" t="e">
        <f t="shared" si="4"/>
        <v>#DIV/0!</v>
      </c>
      <c r="AJ12">
        <f t="shared" si="1"/>
        <v>0</v>
      </c>
      <c r="AK12" s="63"/>
      <c r="AL12" s="72"/>
    </row>
    <row r="13" spans="1:38" ht="21.75">
      <c r="A13" s="76"/>
      <c r="B13" s="18"/>
      <c r="C13" s="34"/>
      <c r="D13" s="61"/>
      <c r="E13" s="56" t="s">
        <v>1500</v>
      </c>
      <c r="F13" s="15">
        <v>1</v>
      </c>
      <c r="G13" s="14" t="s">
        <v>1248</v>
      </c>
      <c r="H13" s="17">
        <v>1</v>
      </c>
      <c r="I13" s="17" t="s">
        <v>392</v>
      </c>
      <c r="J13" s="87"/>
      <c r="K13" s="43">
        <v>276</v>
      </c>
      <c r="L13" s="108">
        <f t="shared" si="0"/>
        <v>270</v>
      </c>
      <c r="M13" s="124">
        <v>300</v>
      </c>
      <c r="N13" s="104">
        <v>45</v>
      </c>
      <c r="O13" s="50">
        <f t="shared" si="2"/>
        <v>255</v>
      </c>
      <c r="P13" s="24">
        <v>195.4</v>
      </c>
      <c r="Q13" s="49">
        <f t="shared" si="3"/>
        <v>49827</v>
      </c>
      <c r="R13" s="17"/>
      <c r="S13" s="19"/>
      <c r="T13" s="44"/>
      <c r="U13" s="26"/>
      <c r="V13" s="17"/>
      <c r="W13" s="17"/>
      <c r="X13" s="19"/>
      <c r="Y13" s="44"/>
      <c r="Z13" s="26"/>
      <c r="AA13" s="34"/>
      <c r="AB13" s="74"/>
      <c r="AC13" s="74"/>
      <c r="AD13" s="68"/>
      <c r="AE13" s="90"/>
      <c r="AF13" s="90"/>
      <c r="AG13">
        <v>225</v>
      </c>
      <c r="AH13">
        <v>45155.700000000055</v>
      </c>
      <c r="AI13">
        <f t="shared" si="4"/>
        <v>200.69200000000023</v>
      </c>
      <c r="AJ13">
        <f t="shared" si="1"/>
        <v>270</v>
      </c>
      <c r="AK13" s="63"/>
      <c r="AL13" s="72"/>
    </row>
    <row r="14" spans="1:38" ht="21.75">
      <c r="A14" s="76">
        <v>10949</v>
      </c>
      <c r="B14" s="18">
        <v>44</v>
      </c>
      <c r="C14" s="34"/>
      <c r="D14" s="61"/>
      <c r="E14" s="56" t="s">
        <v>73</v>
      </c>
      <c r="F14" s="15">
        <v>1</v>
      </c>
      <c r="G14" s="14" t="s">
        <v>1248</v>
      </c>
      <c r="H14" s="17">
        <v>1</v>
      </c>
      <c r="I14" s="17" t="s">
        <v>392</v>
      </c>
      <c r="J14" s="87">
        <v>246</v>
      </c>
      <c r="K14" s="43">
        <v>249</v>
      </c>
      <c r="L14" s="108">
        <f t="shared" si="0"/>
        <v>238.79999999999998</v>
      </c>
      <c r="M14" s="124">
        <v>250</v>
      </c>
      <c r="N14" s="104"/>
      <c r="O14" s="50">
        <f t="shared" si="2"/>
        <v>250</v>
      </c>
      <c r="P14" s="96">
        <v>79.57</v>
      </c>
      <c r="Q14" s="49">
        <f t="shared" si="3"/>
        <v>19892.5</v>
      </c>
      <c r="R14" s="16"/>
      <c r="S14" s="19">
        <f t="shared" si="5"/>
        <v>0</v>
      </c>
      <c r="T14" s="44"/>
      <c r="U14" s="26">
        <f t="shared" si="6"/>
        <v>0</v>
      </c>
      <c r="V14" s="16"/>
      <c r="W14" s="16"/>
      <c r="X14" s="19">
        <f t="shared" si="7"/>
        <v>0</v>
      </c>
      <c r="Y14" s="44"/>
      <c r="Z14" s="26">
        <f t="shared" si="8"/>
        <v>0</v>
      </c>
      <c r="AA14" s="34"/>
      <c r="AB14" s="74">
        <f t="shared" si="9"/>
        <v>0</v>
      </c>
      <c r="AC14" s="74">
        <f t="shared" si="10"/>
        <v>250</v>
      </c>
      <c r="AD14" s="68">
        <f t="shared" si="11"/>
        <v>62.5</v>
      </c>
      <c r="AE14" s="90"/>
      <c r="AF14" s="90"/>
      <c r="AG14">
        <v>199</v>
      </c>
      <c r="AH14">
        <v>15739.069999999978</v>
      </c>
      <c r="AI14">
        <f t="shared" si="4"/>
        <v>79.09080402010039</v>
      </c>
      <c r="AJ14">
        <f t="shared" si="1"/>
        <v>238.79999999999998</v>
      </c>
      <c r="AK14" s="63"/>
      <c r="AL14" s="72"/>
    </row>
    <row r="15" spans="1:38" ht="21.75">
      <c r="A15" s="76">
        <v>10949</v>
      </c>
      <c r="B15" s="18">
        <v>45</v>
      </c>
      <c r="C15" s="34"/>
      <c r="D15" s="61"/>
      <c r="E15" s="57" t="s">
        <v>496</v>
      </c>
      <c r="F15" s="34">
        <v>1</v>
      </c>
      <c r="G15" s="14" t="s">
        <v>1245</v>
      </c>
      <c r="H15" s="17">
        <v>30</v>
      </c>
      <c r="I15" s="17" t="s">
        <v>376</v>
      </c>
      <c r="J15" s="30">
        <v>57</v>
      </c>
      <c r="K15" s="43">
        <v>282</v>
      </c>
      <c r="L15" s="108">
        <f t="shared" si="0"/>
        <v>190.8</v>
      </c>
      <c r="M15" s="124">
        <v>200</v>
      </c>
      <c r="N15" s="76"/>
      <c r="O15" s="50">
        <f t="shared" si="2"/>
        <v>200</v>
      </c>
      <c r="P15" s="97">
        <v>137.36</v>
      </c>
      <c r="Q15" s="49">
        <f t="shared" si="3"/>
        <v>27472.000000000004</v>
      </c>
      <c r="R15" s="17"/>
      <c r="S15" s="19">
        <f t="shared" si="5"/>
        <v>0</v>
      </c>
      <c r="T15" s="44"/>
      <c r="U15" s="26">
        <f t="shared" si="6"/>
        <v>0</v>
      </c>
      <c r="V15" s="17"/>
      <c r="W15" s="17"/>
      <c r="X15" s="19">
        <f t="shared" si="7"/>
        <v>0</v>
      </c>
      <c r="Y15" s="44"/>
      <c r="Z15" s="26">
        <f t="shared" si="8"/>
        <v>0</v>
      </c>
      <c r="AA15" s="34"/>
      <c r="AB15" s="74">
        <f t="shared" si="9"/>
        <v>0</v>
      </c>
      <c r="AC15" s="74">
        <f t="shared" si="10"/>
        <v>200</v>
      </c>
      <c r="AD15" s="68">
        <f t="shared" si="11"/>
        <v>50</v>
      </c>
      <c r="AE15" s="90"/>
      <c r="AF15" s="90"/>
      <c r="AG15">
        <v>159</v>
      </c>
      <c r="AH15">
        <v>21840.24</v>
      </c>
      <c r="AI15">
        <f t="shared" si="4"/>
        <v>137.36</v>
      </c>
      <c r="AJ15">
        <f t="shared" si="1"/>
        <v>190.8</v>
      </c>
      <c r="AK15" s="63"/>
      <c r="AL15" s="72"/>
    </row>
    <row r="16" spans="1:38" ht="21.75">
      <c r="A16" s="76">
        <v>10949</v>
      </c>
      <c r="B16" s="18">
        <v>46</v>
      </c>
      <c r="C16" s="34"/>
      <c r="D16" s="61"/>
      <c r="E16" s="56" t="s">
        <v>497</v>
      </c>
      <c r="F16" s="15">
        <v>1</v>
      </c>
      <c r="G16" s="14" t="s">
        <v>1245</v>
      </c>
      <c r="H16" s="17">
        <v>30</v>
      </c>
      <c r="I16" s="17" t="s">
        <v>376</v>
      </c>
      <c r="J16" s="87">
        <v>29</v>
      </c>
      <c r="K16" s="43">
        <v>0</v>
      </c>
      <c r="L16" s="108">
        <f t="shared" si="0"/>
        <v>0</v>
      </c>
      <c r="M16" s="124">
        <v>10</v>
      </c>
      <c r="N16" s="104"/>
      <c r="O16" s="50">
        <f t="shared" si="2"/>
        <v>10</v>
      </c>
      <c r="P16" s="96">
        <v>165.84310344827585</v>
      </c>
      <c r="Q16" s="49">
        <f t="shared" si="3"/>
        <v>1658.4310344827586</v>
      </c>
      <c r="R16" s="17"/>
      <c r="S16" s="19">
        <f t="shared" si="5"/>
        <v>0</v>
      </c>
      <c r="T16" s="44"/>
      <c r="U16" s="26">
        <f t="shared" si="6"/>
        <v>0</v>
      </c>
      <c r="V16" s="17"/>
      <c r="W16" s="17"/>
      <c r="X16" s="19">
        <f t="shared" si="7"/>
        <v>0</v>
      </c>
      <c r="Y16" s="44"/>
      <c r="Z16" s="26">
        <f t="shared" si="8"/>
        <v>0</v>
      </c>
      <c r="AA16" s="34"/>
      <c r="AB16" s="74">
        <f t="shared" si="9"/>
        <v>0</v>
      </c>
      <c r="AC16" s="74">
        <f t="shared" si="10"/>
        <v>10</v>
      </c>
      <c r="AD16" s="68">
        <f t="shared" si="11"/>
        <v>2.5</v>
      </c>
      <c r="AE16" s="90"/>
      <c r="AF16" s="90"/>
      <c r="AI16" t="e">
        <f t="shared" si="4"/>
        <v>#DIV/0!</v>
      </c>
      <c r="AJ16">
        <f t="shared" si="1"/>
        <v>0</v>
      </c>
      <c r="AK16" s="63"/>
      <c r="AL16" s="72"/>
    </row>
    <row r="17" spans="1:38" ht="21.75">
      <c r="A17" s="76">
        <v>10949</v>
      </c>
      <c r="B17" s="18">
        <v>47</v>
      </c>
      <c r="C17" s="34"/>
      <c r="D17" s="61"/>
      <c r="E17" s="56" t="s">
        <v>78</v>
      </c>
      <c r="F17" s="15">
        <v>1</v>
      </c>
      <c r="G17" s="14" t="s">
        <v>1245</v>
      </c>
      <c r="H17" s="17">
        <v>500</v>
      </c>
      <c r="I17" s="17" t="s">
        <v>376</v>
      </c>
      <c r="J17" s="87">
        <v>23</v>
      </c>
      <c r="K17" s="43">
        <v>16</v>
      </c>
      <c r="L17" s="108">
        <v>7</v>
      </c>
      <c r="M17" s="124">
        <v>16</v>
      </c>
      <c r="N17" s="104">
        <v>15</v>
      </c>
      <c r="O17" s="50">
        <f t="shared" si="2"/>
        <v>1</v>
      </c>
      <c r="P17" s="96">
        <v>766</v>
      </c>
      <c r="Q17" s="49">
        <f t="shared" si="3"/>
        <v>766</v>
      </c>
      <c r="R17" s="17"/>
      <c r="S17" s="19">
        <f t="shared" si="5"/>
        <v>0</v>
      </c>
      <c r="T17" s="44"/>
      <c r="U17" s="26">
        <f t="shared" si="6"/>
        <v>0</v>
      </c>
      <c r="V17" s="17"/>
      <c r="W17" s="17"/>
      <c r="X17" s="19">
        <f t="shared" si="7"/>
        <v>0</v>
      </c>
      <c r="Y17" s="44"/>
      <c r="Z17" s="26">
        <f t="shared" si="8"/>
        <v>0</v>
      </c>
      <c r="AA17" s="34"/>
      <c r="AB17" s="74">
        <f t="shared" si="9"/>
        <v>0</v>
      </c>
      <c r="AC17" s="74">
        <f t="shared" si="10"/>
        <v>1</v>
      </c>
      <c r="AD17" s="68">
        <f t="shared" si="11"/>
        <v>0.25</v>
      </c>
      <c r="AE17" s="90"/>
      <c r="AF17" s="90"/>
      <c r="AI17" t="e">
        <f t="shared" si="4"/>
        <v>#DIV/0!</v>
      </c>
      <c r="AJ17">
        <f t="shared" si="1"/>
        <v>0</v>
      </c>
      <c r="AK17" s="63"/>
      <c r="AL17" s="72"/>
    </row>
    <row r="18" spans="1:38" ht="21.75">
      <c r="A18" s="76"/>
      <c r="B18" s="18"/>
      <c r="C18" s="34"/>
      <c r="D18" s="61"/>
      <c r="E18" s="56" t="s">
        <v>1501</v>
      </c>
      <c r="F18" s="15">
        <v>1</v>
      </c>
      <c r="G18" s="14" t="s">
        <v>1245</v>
      </c>
      <c r="H18" s="17">
        <v>500</v>
      </c>
      <c r="I18" s="17" t="s">
        <v>376</v>
      </c>
      <c r="J18" s="87"/>
      <c r="K18" s="43">
        <v>2</v>
      </c>
      <c r="L18" s="108">
        <f aca="true" t="shared" si="12" ref="L18:L61">AJ18</f>
        <v>0</v>
      </c>
      <c r="M18" s="124">
        <v>2</v>
      </c>
      <c r="N18" s="104">
        <v>4</v>
      </c>
      <c r="O18" s="50">
        <v>0</v>
      </c>
      <c r="P18" s="96">
        <v>959.78</v>
      </c>
      <c r="Q18" s="49">
        <f t="shared" si="3"/>
        <v>0</v>
      </c>
      <c r="R18" s="17"/>
      <c r="S18" s="19"/>
      <c r="T18" s="44"/>
      <c r="U18" s="26"/>
      <c r="V18" s="17"/>
      <c r="W18" s="17"/>
      <c r="X18" s="19"/>
      <c r="Y18" s="44"/>
      <c r="Z18" s="26"/>
      <c r="AA18" s="34"/>
      <c r="AB18" s="74"/>
      <c r="AC18" s="74"/>
      <c r="AD18" s="68"/>
      <c r="AE18" s="90"/>
      <c r="AF18" s="90"/>
      <c r="AI18" t="e">
        <f t="shared" si="4"/>
        <v>#DIV/0!</v>
      </c>
      <c r="AJ18">
        <f t="shared" si="1"/>
        <v>0</v>
      </c>
      <c r="AK18" s="63"/>
      <c r="AL18" s="72"/>
    </row>
    <row r="19" spans="1:42" s="52" customFormat="1" ht="21.75">
      <c r="A19" s="81">
        <v>10949</v>
      </c>
      <c r="B19" s="18">
        <v>48</v>
      </c>
      <c r="C19" s="34"/>
      <c r="D19" s="61"/>
      <c r="E19" s="56" t="s">
        <v>100</v>
      </c>
      <c r="F19" s="15">
        <v>1</v>
      </c>
      <c r="G19" s="14" t="s">
        <v>1245</v>
      </c>
      <c r="H19" s="17">
        <v>60</v>
      </c>
      <c r="I19" s="17" t="s">
        <v>376</v>
      </c>
      <c r="J19" s="87">
        <v>6</v>
      </c>
      <c r="K19" s="43">
        <v>0</v>
      </c>
      <c r="L19" s="108">
        <f t="shared" si="12"/>
        <v>0</v>
      </c>
      <c r="M19" s="124">
        <v>0</v>
      </c>
      <c r="N19" s="104"/>
      <c r="O19" s="50">
        <f t="shared" si="2"/>
        <v>0</v>
      </c>
      <c r="P19" s="96">
        <v>398.6</v>
      </c>
      <c r="Q19" s="49">
        <f t="shared" si="3"/>
        <v>0</v>
      </c>
      <c r="R19" s="17"/>
      <c r="S19" s="19">
        <f t="shared" si="5"/>
        <v>0</v>
      </c>
      <c r="T19" s="44"/>
      <c r="U19" s="26">
        <f t="shared" si="6"/>
        <v>0</v>
      </c>
      <c r="V19" s="17"/>
      <c r="W19" s="17"/>
      <c r="X19" s="19">
        <f t="shared" si="7"/>
        <v>0</v>
      </c>
      <c r="Y19" s="44"/>
      <c r="Z19" s="26">
        <f t="shared" si="8"/>
        <v>0</v>
      </c>
      <c r="AA19" s="34"/>
      <c r="AB19" s="74">
        <f t="shared" si="9"/>
        <v>0</v>
      </c>
      <c r="AC19" s="74">
        <f t="shared" si="10"/>
        <v>0</v>
      </c>
      <c r="AD19" s="68">
        <f t="shared" si="11"/>
        <v>0</v>
      </c>
      <c r="AE19" s="90"/>
      <c r="AF19" s="90"/>
      <c r="AG19"/>
      <c r="AH19"/>
      <c r="AI19" t="e">
        <f t="shared" si="4"/>
        <v>#DIV/0!</v>
      </c>
      <c r="AJ19">
        <f t="shared" si="1"/>
        <v>0</v>
      </c>
      <c r="AK19" s="63"/>
      <c r="AL19" s="72"/>
      <c r="AM19"/>
      <c r="AN19"/>
      <c r="AO19"/>
      <c r="AP19"/>
    </row>
    <row r="20" spans="1:38" ht="21.75">
      <c r="A20" s="76">
        <v>10949</v>
      </c>
      <c r="B20" s="18">
        <v>49</v>
      </c>
      <c r="C20" s="55"/>
      <c r="D20" s="80"/>
      <c r="E20" s="56" t="s">
        <v>475</v>
      </c>
      <c r="F20" s="15">
        <v>1</v>
      </c>
      <c r="G20" s="14" t="s">
        <v>1245</v>
      </c>
      <c r="H20" s="17">
        <v>60</v>
      </c>
      <c r="I20" s="17" t="s">
        <v>376</v>
      </c>
      <c r="J20" s="89">
        <v>25</v>
      </c>
      <c r="K20" s="43">
        <v>0</v>
      </c>
      <c r="L20" s="108">
        <f t="shared" si="12"/>
        <v>0</v>
      </c>
      <c r="M20" s="124">
        <v>0</v>
      </c>
      <c r="N20" s="104"/>
      <c r="O20" s="50">
        <f t="shared" si="2"/>
        <v>0</v>
      </c>
      <c r="P20" s="97">
        <v>490.56</v>
      </c>
      <c r="Q20" s="49">
        <f t="shared" si="3"/>
        <v>0</v>
      </c>
      <c r="R20" s="17"/>
      <c r="S20" s="19">
        <v>0</v>
      </c>
      <c r="T20" s="44"/>
      <c r="U20" s="26">
        <v>0</v>
      </c>
      <c r="V20" s="17"/>
      <c r="W20" s="17"/>
      <c r="X20" s="19">
        <f t="shared" si="7"/>
        <v>0</v>
      </c>
      <c r="Y20" s="44"/>
      <c r="Z20" s="26">
        <f t="shared" si="8"/>
        <v>0</v>
      </c>
      <c r="AA20" s="34"/>
      <c r="AB20" s="74">
        <f t="shared" si="9"/>
        <v>0</v>
      </c>
      <c r="AC20" s="74">
        <f t="shared" si="10"/>
        <v>0</v>
      </c>
      <c r="AD20" s="68">
        <f t="shared" si="11"/>
        <v>0</v>
      </c>
      <c r="AE20" s="90"/>
      <c r="AF20" s="90"/>
      <c r="AI20" t="e">
        <f t="shared" si="4"/>
        <v>#DIV/0!</v>
      </c>
      <c r="AJ20">
        <f t="shared" si="1"/>
        <v>0</v>
      </c>
      <c r="AK20" s="63"/>
      <c r="AL20" s="72"/>
    </row>
    <row r="21" spans="1:42" ht="21.75">
      <c r="A21" s="76">
        <v>10949</v>
      </c>
      <c r="B21" s="18">
        <v>50</v>
      </c>
      <c r="C21" s="60"/>
      <c r="D21" s="61"/>
      <c r="E21" s="56" t="s">
        <v>101</v>
      </c>
      <c r="F21" s="15">
        <v>1</v>
      </c>
      <c r="G21" s="14" t="s">
        <v>1256</v>
      </c>
      <c r="H21" s="17">
        <v>1</v>
      </c>
      <c r="I21" s="17" t="s">
        <v>389</v>
      </c>
      <c r="J21" s="87">
        <v>6</v>
      </c>
      <c r="K21" s="43">
        <v>0</v>
      </c>
      <c r="L21" s="108">
        <f t="shared" si="12"/>
        <v>0</v>
      </c>
      <c r="M21" s="124">
        <v>0</v>
      </c>
      <c r="N21" s="104"/>
      <c r="O21" s="50">
        <f t="shared" si="2"/>
        <v>0</v>
      </c>
      <c r="P21" s="96">
        <v>790</v>
      </c>
      <c r="Q21" s="49">
        <f t="shared" si="3"/>
        <v>0</v>
      </c>
      <c r="R21" s="20"/>
      <c r="S21" s="19">
        <f>R21*P21</f>
        <v>0</v>
      </c>
      <c r="T21" s="20"/>
      <c r="U21" s="26">
        <f>T21*P21</f>
        <v>0</v>
      </c>
      <c r="V21" s="20"/>
      <c r="W21" s="20"/>
      <c r="X21" s="19">
        <f t="shared" si="7"/>
        <v>0</v>
      </c>
      <c r="Y21" s="20"/>
      <c r="Z21" s="26">
        <f t="shared" si="8"/>
        <v>0</v>
      </c>
      <c r="AA21" s="34"/>
      <c r="AB21" s="74">
        <f t="shared" si="9"/>
        <v>0</v>
      </c>
      <c r="AC21" s="74">
        <f t="shared" si="10"/>
        <v>0</v>
      </c>
      <c r="AD21" s="68">
        <f t="shared" si="11"/>
        <v>0</v>
      </c>
      <c r="AE21" s="90"/>
      <c r="AF21" s="90"/>
      <c r="AI21" t="e">
        <f t="shared" si="4"/>
        <v>#DIV/0!</v>
      </c>
      <c r="AJ21">
        <f t="shared" si="1"/>
        <v>0</v>
      </c>
      <c r="AK21" s="71"/>
      <c r="AL21" s="72"/>
      <c r="AM21" s="52"/>
      <c r="AO21" s="52"/>
      <c r="AP21" s="52"/>
    </row>
    <row r="22" spans="1:42" ht="21.75">
      <c r="A22" s="77"/>
      <c r="B22" s="109"/>
      <c r="C22" s="110"/>
      <c r="D22" s="111"/>
      <c r="E22" s="92" t="s">
        <v>107</v>
      </c>
      <c r="F22" s="119">
        <v>1</v>
      </c>
      <c r="G22" s="92" t="s">
        <v>1248</v>
      </c>
      <c r="H22" s="121">
        <v>1</v>
      </c>
      <c r="I22" s="121" t="s">
        <v>377</v>
      </c>
      <c r="J22" s="114">
        <v>215</v>
      </c>
      <c r="K22" s="108">
        <v>360</v>
      </c>
      <c r="L22" s="108">
        <f t="shared" si="12"/>
        <v>225.60000000000002</v>
      </c>
      <c r="M22" s="124">
        <v>280</v>
      </c>
      <c r="N22" s="115">
        <v>77</v>
      </c>
      <c r="O22" s="50">
        <f t="shared" si="2"/>
        <v>203</v>
      </c>
      <c r="P22" s="98">
        <v>37.63000000000001</v>
      </c>
      <c r="Q22" s="49">
        <f t="shared" si="3"/>
        <v>7638.890000000002</v>
      </c>
      <c r="R22" s="12"/>
      <c r="S22" s="116"/>
      <c r="T22" s="12"/>
      <c r="U22" s="117"/>
      <c r="V22" s="12"/>
      <c r="W22" s="12"/>
      <c r="X22" s="116"/>
      <c r="Y22" s="12"/>
      <c r="Z22" s="117"/>
      <c r="AA22" s="11"/>
      <c r="AB22" s="74"/>
      <c r="AC22" s="74"/>
      <c r="AD22" s="68"/>
      <c r="AE22" s="90"/>
      <c r="AF22" s="90"/>
      <c r="AG22">
        <v>188</v>
      </c>
      <c r="AH22">
        <v>7155.280000000002</v>
      </c>
      <c r="AI22">
        <f t="shared" si="4"/>
        <v>38.06000000000001</v>
      </c>
      <c r="AJ22">
        <f t="shared" si="1"/>
        <v>225.60000000000002</v>
      </c>
      <c r="AK22" s="71"/>
      <c r="AL22" s="72"/>
      <c r="AM22" s="52"/>
      <c r="AO22" s="52"/>
      <c r="AP22" s="52"/>
    </row>
    <row r="23" spans="1:42" ht="21.75">
      <c r="A23" s="77"/>
      <c r="B23" s="109"/>
      <c r="C23" s="110"/>
      <c r="D23" s="111"/>
      <c r="E23" s="112" t="s">
        <v>1415</v>
      </c>
      <c r="F23" s="113">
        <v>1</v>
      </c>
      <c r="G23" s="112" t="s">
        <v>1248</v>
      </c>
      <c r="H23" s="13">
        <v>1</v>
      </c>
      <c r="I23" s="13" t="s">
        <v>378</v>
      </c>
      <c r="J23" s="114">
        <v>249</v>
      </c>
      <c r="K23" s="108">
        <v>247</v>
      </c>
      <c r="L23" s="108">
        <f t="shared" si="12"/>
        <v>40.8</v>
      </c>
      <c r="M23" s="124">
        <v>190</v>
      </c>
      <c r="N23" s="115"/>
      <c r="O23" s="50">
        <f t="shared" si="2"/>
        <v>190</v>
      </c>
      <c r="P23" s="98">
        <v>279.54</v>
      </c>
      <c r="Q23" s="49">
        <f t="shared" si="3"/>
        <v>53112.600000000006</v>
      </c>
      <c r="R23" s="12"/>
      <c r="S23" s="116"/>
      <c r="T23" s="12"/>
      <c r="U23" s="117"/>
      <c r="V23" s="12"/>
      <c r="W23" s="12"/>
      <c r="X23" s="116"/>
      <c r="Y23" s="12"/>
      <c r="Z23" s="117"/>
      <c r="AA23" s="11"/>
      <c r="AB23" s="74"/>
      <c r="AC23" s="74"/>
      <c r="AD23" s="68"/>
      <c r="AE23" s="90"/>
      <c r="AF23" s="90"/>
      <c r="AG23">
        <v>34</v>
      </c>
      <c r="AH23">
        <v>9504.36</v>
      </c>
      <c r="AI23">
        <f t="shared" si="4"/>
        <v>279.54</v>
      </c>
      <c r="AJ23">
        <f t="shared" si="1"/>
        <v>40.8</v>
      </c>
      <c r="AK23" s="71"/>
      <c r="AL23" s="72"/>
      <c r="AM23" s="52"/>
      <c r="AO23" s="52"/>
      <c r="AP23" s="52"/>
    </row>
    <row r="24" spans="1:42" ht="37.5">
      <c r="A24" s="77"/>
      <c r="B24" s="109"/>
      <c r="C24" s="110"/>
      <c r="D24" s="111"/>
      <c r="E24" s="120" t="s">
        <v>500</v>
      </c>
      <c r="F24" s="119">
        <v>1</v>
      </c>
      <c r="G24" s="120" t="s">
        <v>1248</v>
      </c>
      <c r="H24" s="119">
        <v>1</v>
      </c>
      <c r="I24" s="119" t="s">
        <v>486</v>
      </c>
      <c r="J24" s="114">
        <v>1368</v>
      </c>
      <c r="K24" s="108">
        <v>1475</v>
      </c>
      <c r="L24" s="108">
        <f t="shared" si="12"/>
        <v>2546.3999999999996</v>
      </c>
      <c r="M24" s="124">
        <v>2600</v>
      </c>
      <c r="N24" s="115">
        <f>351+63</f>
        <v>414</v>
      </c>
      <c r="O24" s="50">
        <f t="shared" si="2"/>
        <v>2186</v>
      </c>
      <c r="P24" s="126">
        <v>99.66616</v>
      </c>
      <c r="Q24" s="49">
        <f t="shared" si="3"/>
        <v>217870.22576</v>
      </c>
      <c r="R24" s="12"/>
      <c r="S24" s="116"/>
      <c r="T24" s="12"/>
      <c r="U24" s="117"/>
      <c r="V24" s="12"/>
      <c r="W24" s="12"/>
      <c r="X24" s="116"/>
      <c r="Y24" s="12"/>
      <c r="Z24" s="117"/>
      <c r="AA24" s="11"/>
      <c r="AB24" s="74"/>
      <c r="AC24" s="74"/>
      <c r="AD24" s="68"/>
      <c r="AE24" s="90"/>
      <c r="AF24" s="90"/>
      <c r="AG24">
        <f>1979+143</f>
        <v>2122</v>
      </c>
      <c r="AH24">
        <f>216265.12+13617.89</f>
        <v>229883.01</v>
      </c>
      <c r="AI24">
        <f t="shared" si="4"/>
        <v>108.33318096135721</v>
      </c>
      <c r="AJ24">
        <f t="shared" si="1"/>
        <v>2546.3999999999996</v>
      </c>
      <c r="AK24" s="71"/>
      <c r="AL24" s="72"/>
      <c r="AM24" s="52"/>
      <c r="AO24" s="52"/>
      <c r="AP24" s="52"/>
    </row>
    <row r="25" spans="1:42" ht="37.5">
      <c r="A25" s="77"/>
      <c r="B25" s="109"/>
      <c r="C25" s="110"/>
      <c r="D25" s="111"/>
      <c r="E25" s="120" t="s">
        <v>1502</v>
      </c>
      <c r="F25" s="119">
        <v>1</v>
      </c>
      <c r="G25" s="120" t="s">
        <v>1248</v>
      </c>
      <c r="H25" s="119">
        <v>1</v>
      </c>
      <c r="I25" s="119" t="s">
        <v>486</v>
      </c>
      <c r="J25" s="114"/>
      <c r="K25" s="108">
        <v>176</v>
      </c>
      <c r="L25" s="108">
        <f t="shared" si="12"/>
        <v>316.79999999999995</v>
      </c>
      <c r="M25" s="124">
        <v>320</v>
      </c>
      <c r="N25" s="115">
        <v>511</v>
      </c>
      <c r="O25" s="50">
        <v>0</v>
      </c>
      <c r="P25" s="98">
        <v>409.03999999999996</v>
      </c>
      <c r="Q25" s="49">
        <f t="shared" si="3"/>
        <v>0</v>
      </c>
      <c r="R25" s="12"/>
      <c r="S25" s="116"/>
      <c r="T25" s="12"/>
      <c r="U25" s="117"/>
      <c r="V25" s="12"/>
      <c r="W25" s="12"/>
      <c r="X25" s="116"/>
      <c r="Y25" s="12"/>
      <c r="Z25" s="117"/>
      <c r="AA25" s="11"/>
      <c r="AB25" s="74"/>
      <c r="AC25" s="74"/>
      <c r="AD25" s="68"/>
      <c r="AE25" s="90"/>
      <c r="AF25" s="90"/>
      <c r="AG25">
        <v>264</v>
      </c>
      <c r="AH25">
        <v>98852.15999999999</v>
      </c>
      <c r="AI25">
        <f t="shared" si="4"/>
        <v>374.43999999999994</v>
      </c>
      <c r="AJ25">
        <f t="shared" si="1"/>
        <v>316.79999999999995</v>
      </c>
      <c r="AK25" s="71"/>
      <c r="AL25" s="72"/>
      <c r="AM25" s="52"/>
      <c r="AO25" s="52"/>
      <c r="AP25" s="52"/>
    </row>
    <row r="26" spans="1:42" ht="21.75">
      <c r="A26" s="77"/>
      <c r="B26" s="109"/>
      <c r="C26" s="110"/>
      <c r="D26" s="111"/>
      <c r="E26" s="118" t="s">
        <v>1306</v>
      </c>
      <c r="F26" s="113">
        <v>1</v>
      </c>
      <c r="G26" s="118" t="s">
        <v>1248</v>
      </c>
      <c r="H26" s="13">
        <v>1</v>
      </c>
      <c r="I26" s="13" t="s">
        <v>378</v>
      </c>
      <c r="J26" s="114">
        <v>629</v>
      </c>
      <c r="K26" s="108">
        <v>663</v>
      </c>
      <c r="L26" s="108">
        <f t="shared" si="12"/>
        <v>571.2</v>
      </c>
      <c r="M26" s="124">
        <v>650</v>
      </c>
      <c r="N26" s="115"/>
      <c r="O26" s="50">
        <f t="shared" si="2"/>
        <v>650</v>
      </c>
      <c r="P26" s="122">
        <v>278.5</v>
      </c>
      <c r="Q26" s="49">
        <f t="shared" si="3"/>
        <v>181025</v>
      </c>
      <c r="R26" s="12"/>
      <c r="S26" s="116"/>
      <c r="T26" s="12"/>
      <c r="U26" s="117"/>
      <c r="V26" s="12"/>
      <c r="W26" s="12"/>
      <c r="X26" s="116"/>
      <c r="Y26" s="12"/>
      <c r="Z26" s="117"/>
      <c r="AA26" s="11"/>
      <c r="AB26" s="74"/>
      <c r="AC26" s="74"/>
      <c r="AD26" s="68"/>
      <c r="AE26" s="90"/>
      <c r="AF26" s="90"/>
      <c r="AG26">
        <v>476</v>
      </c>
      <c r="AH26">
        <v>132533.06</v>
      </c>
      <c r="AI26">
        <f t="shared" si="4"/>
        <v>278.4307983193277</v>
      </c>
      <c r="AJ26">
        <f t="shared" si="1"/>
        <v>571.2</v>
      </c>
      <c r="AK26" s="71"/>
      <c r="AL26" s="72"/>
      <c r="AM26" s="52"/>
      <c r="AO26" s="52"/>
      <c r="AP26" s="52"/>
    </row>
    <row r="27" spans="1:42" ht="21.75">
      <c r="A27" s="77"/>
      <c r="B27" s="109"/>
      <c r="C27" s="110"/>
      <c r="D27" s="111"/>
      <c r="E27" s="33" t="s">
        <v>1459</v>
      </c>
      <c r="F27" s="113">
        <v>1</v>
      </c>
      <c r="G27" s="118" t="s">
        <v>1248</v>
      </c>
      <c r="H27" s="13">
        <v>1</v>
      </c>
      <c r="I27" s="13" t="s">
        <v>378</v>
      </c>
      <c r="J27" s="114">
        <v>89</v>
      </c>
      <c r="K27" s="108"/>
      <c r="L27" s="108">
        <f t="shared" si="12"/>
        <v>0</v>
      </c>
      <c r="M27" s="124">
        <v>30</v>
      </c>
      <c r="N27" s="115">
        <v>83</v>
      </c>
      <c r="O27" s="50">
        <v>0</v>
      </c>
      <c r="P27" s="122"/>
      <c r="Q27" s="49">
        <f t="shared" si="3"/>
        <v>0</v>
      </c>
      <c r="R27" s="12"/>
      <c r="S27" s="116"/>
      <c r="T27" s="12"/>
      <c r="U27" s="117"/>
      <c r="V27" s="12"/>
      <c r="W27" s="12"/>
      <c r="X27" s="116"/>
      <c r="Y27" s="12"/>
      <c r="Z27" s="117"/>
      <c r="AA27" s="11"/>
      <c r="AB27" s="74"/>
      <c r="AC27" s="74"/>
      <c r="AD27" s="68"/>
      <c r="AE27" s="90"/>
      <c r="AF27" s="90"/>
      <c r="AI27" t="e">
        <f t="shared" si="4"/>
        <v>#DIV/0!</v>
      </c>
      <c r="AJ27">
        <f t="shared" si="1"/>
        <v>0</v>
      </c>
      <c r="AK27" s="71"/>
      <c r="AL27" s="72"/>
      <c r="AM27" s="52"/>
      <c r="AO27" s="52"/>
      <c r="AP27" s="52"/>
    </row>
    <row r="28" spans="1:42" ht="21.75">
      <c r="A28" s="77"/>
      <c r="B28" s="109"/>
      <c r="C28" s="110"/>
      <c r="D28" s="111"/>
      <c r="E28" s="112" t="s">
        <v>115</v>
      </c>
      <c r="F28" s="113">
        <v>1</v>
      </c>
      <c r="G28" s="112" t="s">
        <v>1245</v>
      </c>
      <c r="H28" s="13">
        <v>500</v>
      </c>
      <c r="I28" s="13" t="s">
        <v>376</v>
      </c>
      <c r="J28" s="114">
        <v>66</v>
      </c>
      <c r="K28" s="108">
        <v>70</v>
      </c>
      <c r="L28" s="108">
        <f t="shared" si="12"/>
        <v>46.8</v>
      </c>
      <c r="M28" s="124">
        <v>65</v>
      </c>
      <c r="N28" s="115"/>
      <c r="O28" s="50">
        <f t="shared" si="2"/>
        <v>65</v>
      </c>
      <c r="P28" s="98">
        <v>63.13</v>
      </c>
      <c r="Q28" s="49">
        <f t="shared" si="3"/>
        <v>4103.45</v>
      </c>
      <c r="R28" s="12"/>
      <c r="S28" s="116"/>
      <c r="T28" s="12"/>
      <c r="U28" s="117"/>
      <c r="V28" s="12"/>
      <c r="W28" s="12"/>
      <c r="X28" s="116"/>
      <c r="Y28" s="12"/>
      <c r="Z28" s="117"/>
      <c r="AA28" s="11"/>
      <c r="AB28" s="74"/>
      <c r="AC28" s="74"/>
      <c r="AD28" s="68"/>
      <c r="AE28" s="90"/>
      <c r="AF28" s="90"/>
      <c r="AG28">
        <v>39</v>
      </c>
      <c r="AH28">
        <v>2741.85</v>
      </c>
      <c r="AI28">
        <f t="shared" si="4"/>
        <v>70.30384615384615</v>
      </c>
      <c r="AJ28">
        <f t="shared" si="1"/>
        <v>46.8</v>
      </c>
      <c r="AK28" s="71"/>
      <c r="AL28" s="72"/>
      <c r="AM28" s="52"/>
      <c r="AO28" s="52"/>
      <c r="AP28" s="52"/>
    </row>
    <row r="29" spans="1:42" ht="21.75">
      <c r="A29" s="77"/>
      <c r="B29" s="109"/>
      <c r="C29" s="110"/>
      <c r="D29" s="111"/>
      <c r="E29" s="112" t="s">
        <v>1341</v>
      </c>
      <c r="F29" s="113">
        <v>1</v>
      </c>
      <c r="G29" s="112" t="s">
        <v>1248</v>
      </c>
      <c r="H29" s="13">
        <v>1</v>
      </c>
      <c r="I29" s="13" t="s">
        <v>392</v>
      </c>
      <c r="J29" s="114">
        <v>1906</v>
      </c>
      <c r="K29" s="108">
        <v>1980</v>
      </c>
      <c r="L29" s="108">
        <f t="shared" si="12"/>
        <v>1783.1999999999998</v>
      </c>
      <c r="M29" s="124">
        <v>1950</v>
      </c>
      <c r="N29" s="115">
        <v>446</v>
      </c>
      <c r="O29" s="50">
        <f t="shared" si="2"/>
        <v>1504</v>
      </c>
      <c r="P29" s="98">
        <v>162.11920000000003</v>
      </c>
      <c r="Q29" s="49">
        <f t="shared" si="3"/>
        <v>243827.27680000005</v>
      </c>
      <c r="R29" s="12"/>
      <c r="S29" s="116"/>
      <c r="T29" s="12"/>
      <c r="U29" s="117"/>
      <c r="V29" s="12"/>
      <c r="W29" s="12"/>
      <c r="X29" s="116"/>
      <c r="Y29" s="12"/>
      <c r="Z29" s="117"/>
      <c r="AA29" s="11"/>
      <c r="AB29" s="74"/>
      <c r="AC29" s="74"/>
      <c r="AD29" s="68"/>
      <c r="AE29" s="90"/>
      <c r="AF29" s="90"/>
      <c r="AG29">
        <v>1486</v>
      </c>
      <c r="AH29">
        <v>224626.40000000008</v>
      </c>
      <c r="AI29">
        <f t="shared" si="4"/>
        <v>151.1617765814267</v>
      </c>
      <c r="AJ29">
        <f t="shared" si="1"/>
        <v>1783.1999999999998</v>
      </c>
      <c r="AK29" s="71"/>
      <c r="AL29" s="72"/>
      <c r="AM29" s="52"/>
      <c r="AO29" s="52"/>
      <c r="AP29" s="52"/>
    </row>
    <row r="30" spans="1:42" ht="21.75">
      <c r="A30" s="77"/>
      <c r="B30" s="109"/>
      <c r="C30" s="110"/>
      <c r="D30" s="111"/>
      <c r="E30" s="112" t="s">
        <v>559</v>
      </c>
      <c r="F30" s="113">
        <v>1</v>
      </c>
      <c r="G30" s="112" t="s">
        <v>1248</v>
      </c>
      <c r="H30" s="13">
        <v>1</v>
      </c>
      <c r="I30" s="13" t="s">
        <v>392</v>
      </c>
      <c r="J30" s="114"/>
      <c r="K30" s="108">
        <v>0</v>
      </c>
      <c r="L30" s="108">
        <f t="shared" si="12"/>
        <v>0</v>
      </c>
      <c r="M30" s="124">
        <v>0</v>
      </c>
      <c r="N30" s="115"/>
      <c r="O30" s="50">
        <f t="shared" si="2"/>
        <v>0</v>
      </c>
      <c r="P30" s="98">
        <v>103</v>
      </c>
      <c r="Q30" s="49">
        <f t="shared" si="3"/>
        <v>0</v>
      </c>
      <c r="R30" s="12"/>
      <c r="S30" s="116"/>
      <c r="T30" s="12"/>
      <c r="U30" s="117"/>
      <c r="V30" s="12"/>
      <c r="W30" s="12"/>
      <c r="X30" s="116"/>
      <c r="Y30" s="12"/>
      <c r="Z30" s="117"/>
      <c r="AA30" s="11"/>
      <c r="AB30" s="74"/>
      <c r="AC30" s="74"/>
      <c r="AD30" s="68"/>
      <c r="AE30" s="90"/>
      <c r="AF30" s="90"/>
      <c r="AI30" t="e">
        <f t="shared" si="4"/>
        <v>#DIV/0!</v>
      </c>
      <c r="AJ30">
        <f t="shared" si="1"/>
        <v>0</v>
      </c>
      <c r="AK30" s="71"/>
      <c r="AL30" s="72"/>
      <c r="AM30" s="52"/>
      <c r="AO30" s="52"/>
      <c r="AP30" s="52"/>
    </row>
    <row r="31" spans="1:42" ht="21.75">
      <c r="A31" s="77"/>
      <c r="B31" s="109"/>
      <c r="C31" s="110"/>
      <c r="D31" s="111"/>
      <c r="E31" s="112" t="s">
        <v>501</v>
      </c>
      <c r="F31" s="113">
        <v>1</v>
      </c>
      <c r="G31" s="112" t="s">
        <v>1245</v>
      </c>
      <c r="H31" s="13">
        <v>60</v>
      </c>
      <c r="I31" s="13" t="s">
        <v>376</v>
      </c>
      <c r="J31" s="114">
        <v>37</v>
      </c>
      <c r="K31" s="108">
        <v>30</v>
      </c>
      <c r="L31" s="108">
        <f t="shared" si="12"/>
        <v>56.400000000000006</v>
      </c>
      <c r="M31" s="124">
        <v>60</v>
      </c>
      <c r="N31" s="115"/>
      <c r="O31" s="50">
        <f t="shared" si="2"/>
        <v>60</v>
      </c>
      <c r="P31" s="98">
        <v>186.8</v>
      </c>
      <c r="Q31" s="49">
        <f t="shared" si="3"/>
        <v>11208</v>
      </c>
      <c r="R31" s="12"/>
      <c r="S31" s="116"/>
      <c r="T31" s="12"/>
      <c r="U31" s="117"/>
      <c r="V31" s="12"/>
      <c r="W31" s="12"/>
      <c r="X31" s="116"/>
      <c r="Y31" s="12"/>
      <c r="Z31" s="117"/>
      <c r="AA31" s="11"/>
      <c r="AB31" s="74"/>
      <c r="AC31" s="74"/>
      <c r="AD31" s="68"/>
      <c r="AE31" s="90"/>
      <c r="AF31" s="90"/>
      <c r="AG31">
        <v>47</v>
      </c>
      <c r="AH31">
        <v>8779.599999999999</v>
      </c>
      <c r="AI31">
        <f t="shared" si="4"/>
        <v>186.79999999999998</v>
      </c>
      <c r="AJ31">
        <f t="shared" si="1"/>
        <v>56.400000000000006</v>
      </c>
      <c r="AK31" s="71"/>
      <c r="AL31" s="72"/>
      <c r="AM31" s="52"/>
      <c r="AO31" s="52"/>
      <c r="AP31" s="52"/>
    </row>
    <row r="32" spans="1:42" ht="21.75">
      <c r="A32" s="77"/>
      <c r="B32" s="109"/>
      <c r="C32" s="110"/>
      <c r="D32" s="111"/>
      <c r="E32" s="112" t="s">
        <v>119</v>
      </c>
      <c r="F32" s="113">
        <v>1</v>
      </c>
      <c r="G32" s="112" t="s">
        <v>1245</v>
      </c>
      <c r="H32" s="13">
        <v>60</v>
      </c>
      <c r="I32" s="13" t="s">
        <v>376</v>
      </c>
      <c r="J32" s="114">
        <v>27</v>
      </c>
      <c r="K32" s="108">
        <v>0</v>
      </c>
      <c r="L32" s="108">
        <f t="shared" si="12"/>
        <v>0</v>
      </c>
      <c r="M32" s="124">
        <v>0</v>
      </c>
      <c r="N32" s="115"/>
      <c r="O32" s="50">
        <f t="shared" si="2"/>
        <v>0</v>
      </c>
      <c r="P32" s="98">
        <v>187.38</v>
      </c>
      <c r="Q32" s="49">
        <f t="shared" si="3"/>
        <v>0</v>
      </c>
      <c r="R32" s="12"/>
      <c r="S32" s="116"/>
      <c r="T32" s="12"/>
      <c r="U32" s="117"/>
      <c r="V32" s="12"/>
      <c r="W32" s="12"/>
      <c r="X32" s="116"/>
      <c r="Y32" s="12"/>
      <c r="Z32" s="117"/>
      <c r="AA32" s="11"/>
      <c r="AB32" s="74"/>
      <c r="AC32" s="74"/>
      <c r="AD32" s="68"/>
      <c r="AE32" s="90"/>
      <c r="AF32" s="90"/>
      <c r="AI32" t="e">
        <f t="shared" si="4"/>
        <v>#DIV/0!</v>
      </c>
      <c r="AJ32">
        <f t="shared" si="1"/>
        <v>0</v>
      </c>
      <c r="AK32" s="71"/>
      <c r="AL32" s="72"/>
      <c r="AM32" s="52"/>
      <c r="AO32" s="52"/>
      <c r="AP32" s="52"/>
    </row>
    <row r="33" spans="1:42" ht="21.75">
      <c r="A33" s="77"/>
      <c r="B33" s="109"/>
      <c r="C33" s="110"/>
      <c r="D33" s="111"/>
      <c r="E33" s="112" t="s">
        <v>560</v>
      </c>
      <c r="F33" s="113">
        <v>1</v>
      </c>
      <c r="G33" s="112" t="s">
        <v>1254</v>
      </c>
      <c r="H33" s="13">
        <v>60</v>
      </c>
      <c r="I33" s="13" t="s">
        <v>1250</v>
      </c>
      <c r="J33" s="114">
        <v>0</v>
      </c>
      <c r="K33" s="108"/>
      <c r="L33" s="108">
        <f t="shared" si="12"/>
        <v>0</v>
      </c>
      <c r="M33" s="124">
        <v>0</v>
      </c>
      <c r="N33" s="115"/>
      <c r="O33" s="50">
        <f t="shared" si="2"/>
        <v>0</v>
      </c>
      <c r="P33" s="98">
        <v>60</v>
      </c>
      <c r="Q33" s="49">
        <f t="shared" si="3"/>
        <v>0</v>
      </c>
      <c r="R33" s="12"/>
      <c r="S33" s="116"/>
      <c r="T33" s="12"/>
      <c r="U33" s="117"/>
      <c r="V33" s="12"/>
      <c r="W33" s="12"/>
      <c r="X33" s="116"/>
      <c r="Y33" s="12"/>
      <c r="Z33" s="117"/>
      <c r="AA33" s="11"/>
      <c r="AB33" s="74"/>
      <c r="AC33" s="74"/>
      <c r="AD33" s="68"/>
      <c r="AE33" s="90"/>
      <c r="AF33" s="90"/>
      <c r="AI33" t="e">
        <f t="shared" si="4"/>
        <v>#DIV/0!</v>
      </c>
      <c r="AJ33">
        <f t="shared" si="1"/>
        <v>0</v>
      </c>
      <c r="AK33" s="71"/>
      <c r="AL33" s="72"/>
      <c r="AM33" s="52"/>
      <c r="AO33" s="52"/>
      <c r="AP33" s="52"/>
    </row>
    <row r="34" spans="1:42" ht="21.75">
      <c r="A34" s="77"/>
      <c r="B34" s="109"/>
      <c r="C34" s="110"/>
      <c r="D34" s="111"/>
      <c r="E34" s="112" t="s">
        <v>1481</v>
      </c>
      <c r="F34" s="113">
        <v>1</v>
      </c>
      <c r="G34" s="112" t="s">
        <v>1245</v>
      </c>
      <c r="H34" s="13">
        <v>120</v>
      </c>
      <c r="I34" s="13" t="s">
        <v>376</v>
      </c>
      <c r="J34" s="114"/>
      <c r="K34" s="108"/>
      <c r="L34" s="108">
        <f t="shared" si="12"/>
        <v>0</v>
      </c>
      <c r="M34" s="124">
        <v>0</v>
      </c>
      <c r="N34" s="115"/>
      <c r="O34" s="50">
        <f t="shared" si="2"/>
        <v>0</v>
      </c>
      <c r="P34" s="98">
        <v>1585.36</v>
      </c>
      <c r="Q34" s="49">
        <f t="shared" si="3"/>
        <v>0</v>
      </c>
      <c r="R34" s="12"/>
      <c r="S34" s="116"/>
      <c r="T34" s="12"/>
      <c r="U34" s="117"/>
      <c r="V34" s="12"/>
      <c r="W34" s="12"/>
      <c r="X34" s="116"/>
      <c r="Y34" s="12"/>
      <c r="Z34" s="117"/>
      <c r="AA34" s="11"/>
      <c r="AB34" s="74"/>
      <c r="AC34" s="74"/>
      <c r="AD34" s="68"/>
      <c r="AE34" s="90"/>
      <c r="AF34" s="90"/>
      <c r="AI34" t="e">
        <f t="shared" si="4"/>
        <v>#DIV/0!</v>
      </c>
      <c r="AJ34">
        <f t="shared" si="1"/>
        <v>0</v>
      </c>
      <c r="AK34" s="71"/>
      <c r="AL34" s="72"/>
      <c r="AM34" s="52"/>
      <c r="AO34" s="52"/>
      <c r="AP34" s="52"/>
    </row>
    <row r="35" spans="1:42" ht="21.75">
      <c r="A35" s="77"/>
      <c r="B35" s="109"/>
      <c r="C35" s="110"/>
      <c r="D35" s="111"/>
      <c r="E35" s="112" t="s">
        <v>503</v>
      </c>
      <c r="F35" s="113">
        <v>1</v>
      </c>
      <c r="G35" s="112" t="s">
        <v>1245</v>
      </c>
      <c r="H35" s="13">
        <v>120</v>
      </c>
      <c r="I35" s="13" t="s">
        <v>376</v>
      </c>
      <c r="J35" s="114">
        <v>107</v>
      </c>
      <c r="K35" s="108">
        <v>285</v>
      </c>
      <c r="L35" s="108">
        <f t="shared" si="12"/>
        <v>177.60000000000002</v>
      </c>
      <c r="M35" s="124">
        <v>200</v>
      </c>
      <c r="N35" s="115"/>
      <c r="O35" s="50">
        <f t="shared" si="2"/>
        <v>200</v>
      </c>
      <c r="P35" s="98">
        <v>1585.36</v>
      </c>
      <c r="Q35" s="49">
        <f t="shared" si="3"/>
        <v>317072</v>
      </c>
      <c r="R35" s="12"/>
      <c r="S35" s="116"/>
      <c r="T35" s="12"/>
      <c r="U35" s="117"/>
      <c r="V35" s="12"/>
      <c r="W35" s="12"/>
      <c r="X35" s="116"/>
      <c r="Y35" s="12"/>
      <c r="Z35" s="117"/>
      <c r="AA35" s="11"/>
      <c r="AB35" s="74"/>
      <c r="AC35" s="74"/>
      <c r="AD35" s="68"/>
      <c r="AE35" s="90"/>
      <c r="AF35" s="90"/>
      <c r="AG35">
        <v>148</v>
      </c>
      <c r="AH35">
        <v>234633.27999999997</v>
      </c>
      <c r="AI35">
        <f t="shared" si="4"/>
        <v>1585.36</v>
      </c>
      <c r="AJ35">
        <f aca="true" t="shared" si="13" ref="AJ35:AJ62">AG35/10*12</f>
        <v>177.60000000000002</v>
      </c>
      <c r="AK35" s="71"/>
      <c r="AL35" s="72"/>
      <c r="AM35" s="52"/>
      <c r="AO35" s="52"/>
      <c r="AP35" s="52"/>
    </row>
    <row r="36" spans="1:42" ht="21.75">
      <c r="A36" s="77"/>
      <c r="B36" s="109"/>
      <c r="C36" s="110"/>
      <c r="D36" s="111"/>
      <c r="E36" s="112" t="s">
        <v>126</v>
      </c>
      <c r="F36" s="113">
        <v>1</v>
      </c>
      <c r="G36" s="112" t="s">
        <v>1256</v>
      </c>
      <c r="H36" s="13">
        <v>1</v>
      </c>
      <c r="I36" s="13" t="s">
        <v>392</v>
      </c>
      <c r="J36" s="114">
        <v>13</v>
      </c>
      <c r="K36" s="108">
        <v>0</v>
      </c>
      <c r="L36" s="108">
        <f t="shared" si="12"/>
        <v>0</v>
      </c>
      <c r="M36" s="124">
        <v>4</v>
      </c>
      <c r="N36" s="115"/>
      <c r="O36" s="50">
        <f t="shared" si="2"/>
        <v>4</v>
      </c>
      <c r="P36" s="98">
        <v>790</v>
      </c>
      <c r="Q36" s="49">
        <f t="shared" si="3"/>
        <v>3160</v>
      </c>
      <c r="R36" s="12"/>
      <c r="S36" s="116"/>
      <c r="T36" s="12"/>
      <c r="U36" s="117"/>
      <c r="V36" s="12"/>
      <c r="W36" s="12"/>
      <c r="X36" s="116"/>
      <c r="Y36" s="12"/>
      <c r="Z36" s="117"/>
      <c r="AA36" s="11"/>
      <c r="AB36" s="74"/>
      <c r="AC36" s="74"/>
      <c r="AD36" s="68"/>
      <c r="AE36" s="90"/>
      <c r="AF36" s="90"/>
      <c r="AI36" t="e">
        <f t="shared" si="4"/>
        <v>#DIV/0!</v>
      </c>
      <c r="AJ36">
        <f t="shared" si="13"/>
        <v>0</v>
      </c>
      <c r="AK36" s="71"/>
      <c r="AL36" s="72"/>
      <c r="AM36" s="52"/>
      <c r="AO36" s="52"/>
      <c r="AP36" s="52"/>
    </row>
    <row r="37" spans="1:42" ht="21.75">
      <c r="A37" s="77"/>
      <c r="B37" s="109"/>
      <c r="C37" s="110"/>
      <c r="D37" s="111"/>
      <c r="E37" s="112" t="s">
        <v>598</v>
      </c>
      <c r="F37" s="113">
        <v>1</v>
      </c>
      <c r="G37" s="112" t="s">
        <v>1248</v>
      </c>
      <c r="H37" s="13">
        <v>1</v>
      </c>
      <c r="I37" s="13" t="s">
        <v>392</v>
      </c>
      <c r="J37" s="114">
        <v>0</v>
      </c>
      <c r="K37" s="108">
        <v>0</v>
      </c>
      <c r="L37" s="108">
        <f t="shared" si="12"/>
        <v>0</v>
      </c>
      <c r="M37" s="124">
        <v>0</v>
      </c>
      <c r="N37" s="115"/>
      <c r="O37" s="50">
        <f t="shared" si="2"/>
        <v>0</v>
      </c>
      <c r="P37" s="98">
        <v>150</v>
      </c>
      <c r="Q37" s="49">
        <f t="shared" si="3"/>
        <v>0</v>
      </c>
      <c r="R37" s="12"/>
      <c r="S37" s="116"/>
      <c r="T37" s="12"/>
      <c r="U37" s="117"/>
      <c r="V37" s="12"/>
      <c r="W37" s="12"/>
      <c r="X37" s="116"/>
      <c r="Y37" s="12"/>
      <c r="Z37" s="117"/>
      <c r="AA37" s="11"/>
      <c r="AB37" s="74"/>
      <c r="AC37" s="74"/>
      <c r="AD37" s="68"/>
      <c r="AE37" s="90"/>
      <c r="AF37" s="90"/>
      <c r="AI37" t="e">
        <f t="shared" si="4"/>
        <v>#DIV/0!</v>
      </c>
      <c r="AJ37">
        <f t="shared" si="13"/>
        <v>0</v>
      </c>
      <c r="AK37" s="71"/>
      <c r="AL37" s="72"/>
      <c r="AM37" s="52"/>
      <c r="AO37" s="52"/>
      <c r="AP37" s="52"/>
    </row>
    <row r="38" spans="1:42" ht="21.75">
      <c r="A38" s="77"/>
      <c r="B38" s="109"/>
      <c r="C38" s="110"/>
      <c r="D38" s="111"/>
      <c r="E38" s="112" t="s">
        <v>131</v>
      </c>
      <c r="F38" s="113">
        <v>1</v>
      </c>
      <c r="G38" s="112" t="s">
        <v>1248</v>
      </c>
      <c r="H38" s="13">
        <v>1</v>
      </c>
      <c r="I38" s="13" t="s">
        <v>389</v>
      </c>
      <c r="J38" s="114">
        <v>685</v>
      </c>
      <c r="K38" s="108">
        <v>1172</v>
      </c>
      <c r="L38" s="108">
        <f t="shared" si="12"/>
        <v>1788</v>
      </c>
      <c r="M38" s="124">
        <v>1800</v>
      </c>
      <c r="N38" s="115">
        <v>309</v>
      </c>
      <c r="O38" s="50">
        <f t="shared" si="2"/>
        <v>1491</v>
      </c>
      <c r="P38" s="127">
        <v>182.5534036</v>
      </c>
      <c r="Q38" s="49">
        <f t="shared" si="3"/>
        <v>272187.1247676</v>
      </c>
      <c r="R38" s="12"/>
      <c r="S38" s="116"/>
      <c r="T38" s="12"/>
      <c r="U38" s="117"/>
      <c r="V38" s="12"/>
      <c r="W38" s="12"/>
      <c r="X38" s="116"/>
      <c r="Y38" s="12"/>
      <c r="Z38" s="117"/>
      <c r="AA38" s="11"/>
      <c r="AB38" s="74"/>
      <c r="AC38" s="74"/>
      <c r="AD38" s="68"/>
      <c r="AE38" s="90"/>
      <c r="AF38" s="90"/>
      <c r="AG38">
        <v>1490</v>
      </c>
      <c r="AH38">
        <v>272234.0999999999</v>
      </c>
      <c r="AI38">
        <f t="shared" si="4"/>
        <v>182.70744966442948</v>
      </c>
      <c r="AJ38">
        <f t="shared" si="13"/>
        <v>1788</v>
      </c>
      <c r="AK38" s="71"/>
      <c r="AL38" s="72"/>
      <c r="AM38" s="52"/>
      <c r="AO38" s="52"/>
      <c r="AP38" s="52"/>
    </row>
    <row r="39" spans="1:42" ht="21.75">
      <c r="A39" s="77"/>
      <c r="B39" s="109"/>
      <c r="C39" s="110"/>
      <c r="D39" s="111"/>
      <c r="E39" s="92" t="s">
        <v>1503</v>
      </c>
      <c r="F39" s="113"/>
      <c r="G39" s="112"/>
      <c r="H39" s="13"/>
      <c r="I39" s="13"/>
      <c r="J39" s="29"/>
      <c r="K39" s="114"/>
      <c r="L39" s="108">
        <f t="shared" si="12"/>
        <v>0</v>
      </c>
      <c r="M39" s="124">
        <v>0</v>
      </c>
      <c r="N39" s="115">
        <v>280</v>
      </c>
      <c r="O39" s="50">
        <v>0</v>
      </c>
      <c r="P39" s="50">
        <v>548</v>
      </c>
      <c r="Q39" s="49">
        <f t="shared" si="3"/>
        <v>0</v>
      </c>
      <c r="R39" s="12"/>
      <c r="S39" s="116"/>
      <c r="T39" s="12"/>
      <c r="U39" s="117"/>
      <c r="V39" s="12"/>
      <c r="W39" s="12"/>
      <c r="X39" s="116"/>
      <c r="Y39" s="12"/>
      <c r="Z39" s="117"/>
      <c r="AA39" s="11"/>
      <c r="AB39" s="74"/>
      <c r="AC39" s="74"/>
      <c r="AD39" s="68"/>
      <c r="AE39" s="90"/>
      <c r="AF39" s="90"/>
      <c r="AI39" t="e">
        <f t="shared" si="4"/>
        <v>#DIV/0!</v>
      </c>
      <c r="AJ39">
        <f t="shared" si="13"/>
        <v>0</v>
      </c>
      <c r="AK39" s="71"/>
      <c r="AL39" s="72"/>
      <c r="AM39" s="52"/>
      <c r="AO39" s="52"/>
      <c r="AP39" s="52"/>
    </row>
    <row r="40" spans="1:42" ht="21.75">
      <c r="A40" s="77"/>
      <c r="B40" s="109"/>
      <c r="C40" s="110"/>
      <c r="D40" s="111"/>
      <c r="E40" s="112" t="s">
        <v>1504</v>
      </c>
      <c r="F40" s="113">
        <v>1</v>
      </c>
      <c r="G40" s="112" t="s">
        <v>1248</v>
      </c>
      <c r="H40" s="13">
        <v>1</v>
      </c>
      <c r="I40" s="13" t="s">
        <v>389</v>
      </c>
      <c r="J40" s="114"/>
      <c r="K40" s="108">
        <v>610</v>
      </c>
      <c r="L40" s="108">
        <f t="shared" si="12"/>
        <v>0</v>
      </c>
      <c r="M40" s="124">
        <v>200</v>
      </c>
      <c r="N40" s="115"/>
      <c r="O40" s="50">
        <f t="shared" si="2"/>
        <v>200</v>
      </c>
      <c r="P40" s="98">
        <v>180.05999999999997</v>
      </c>
      <c r="Q40" s="49">
        <f t="shared" si="3"/>
        <v>36011.99999999999</v>
      </c>
      <c r="R40" s="12"/>
      <c r="S40" s="116"/>
      <c r="T40" s="12"/>
      <c r="U40" s="117"/>
      <c r="V40" s="12"/>
      <c r="W40" s="12"/>
      <c r="X40" s="116"/>
      <c r="Y40" s="12"/>
      <c r="Z40" s="117"/>
      <c r="AA40" s="11"/>
      <c r="AB40" s="74"/>
      <c r="AC40" s="74"/>
      <c r="AD40" s="68"/>
      <c r="AE40" s="90"/>
      <c r="AF40" s="90"/>
      <c r="AI40" t="e">
        <f t="shared" si="4"/>
        <v>#DIV/0!</v>
      </c>
      <c r="AJ40">
        <f t="shared" si="13"/>
        <v>0</v>
      </c>
      <c r="AK40" s="71"/>
      <c r="AL40" s="72"/>
      <c r="AM40" s="52"/>
      <c r="AO40" s="52"/>
      <c r="AP40" s="52"/>
    </row>
    <row r="41" spans="1:42" ht="21.75">
      <c r="A41" s="77"/>
      <c r="B41" s="109"/>
      <c r="C41" s="110"/>
      <c r="D41" s="111"/>
      <c r="E41" s="112" t="s">
        <v>417</v>
      </c>
      <c r="F41" s="113">
        <v>1</v>
      </c>
      <c r="G41" s="112" t="s">
        <v>1254</v>
      </c>
      <c r="H41" s="13">
        <v>60</v>
      </c>
      <c r="I41" s="13" t="s">
        <v>1250</v>
      </c>
      <c r="J41" s="114">
        <v>0</v>
      </c>
      <c r="K41" s="108"/>
      <c r="L41" s="108">
        <f t="shared" si="12"/>
        <v>0</v>
      </c>
      <c r="M41" s="124">
        <v>0</v>
      </c>
      <c r="N41" s="115"/>
      <c r="O41" s="50">
        <f t="shared" si="2"/>
        <v>0</v>
      </c>
      <c r="P41" s="98">
        <v>65</v>
      </c>
      <c r="Q41" s="49">
        <f t="shared" si="3"/>
        <v>0</v>
      </c>
      <c r="R41" s="12"/>
      <c r="S41" s="116"/>
      <c r="T41" s="12"/>
      <c r="U41" s="117"/>
      <c r="V41" s="12"/>
      <c r="W41" s="12"/>
      <c r="X41" s="116"/>
      <c r="Y41" s="12"/>
      <c r="Z41" s="117"/>
      <c r="AA41" s="11"/>
      <c r="AB41" s="74"/>
      <c r="AC41" s="74"/>
      <c r="AD41" s="68"/>
      <c r="AE41" s="90"/>
      <c r="AF41" s="90"/>
      <c r="AI41" t="e">
        <f t="shared" si="4"/>
        <v>#DIV/0!</v>
      </c>
      <c r="AJ41">
        <f t="shared" si="13"/>
        <v>0</v>
      </c>
      <c r="AK41" s="71"/>
      <c r="AL41" s="72"/>
      <c r="AM41" s="52"/>
      <c r="AO41" s="52"/>
      <c r="AP41" s="52"/>
    </row>
    <row r="42" spans="1:42" ht="21.75">
      <c r="A42" s="77"/>
      <c r="B42" s="109"/>
      <c r="C42" s="110"/>
      <c r="D42" s="111"/>
      <c r="E42" s="112" t="s">
        <v>135</v>
      </c>
      <c r="F42" s="113">
        <v>1</v>
      </c>
      <c r="G42" s="112" t="s">
        <v>1245</v>
      </c>
      <c r="H42" s="13">
        <v>60</v>
      </c>
      <c r="I42" s="13" t="s">
        <v>376</v>
      </c>
      <c r="J42" s="114">
        <v>124</v>
      </c>
      <c r="K42" s="108">
        <v>238</v>
      </c>
      <c r="L42" s="108">
        <f t="shared" si="12"/>
        <v>170.39999999999998</v>
      </c>
      <c r="M42" s="124">
        <v>200</v>
      </c>
      <c r="N42" s="115"/>
      <c r="O42" s="50">
        <f t="shared" si="2"/>
        <v>200</v>
      </c>
      <c r="P42" s="98">
        <v>298.47</v>
      </c>
      <c r="Q42" s="49">
        <f t="shared" si="3"/>
        <v>59694.00000000001</v>
      </c>
      <c r="R42" s="12"/>
      <c r="S42" s="116"/>
      <c r="T42" s="12"/>
      <c r="U42" s="117"/>
      <c r="V42" s="12"/>
      <c r="W42" s="12"/>
      <c r="X42" s="116"/>
      <c r="Y42" s="12"/>
      <c r="Z42" s="117"/>
      <c r="AA42" s="11"/>
      <c r="AB42" s="74"/>
      <c r="AC42" s="74"/>
      <c r="AD42" s="68"/>
      <c r="AE42" s="90"/>
      <c r="AF42" s="90"/>
      <c r="AG42">
        <v>142</v>
      </c>
      <c r="AH42">
        <v>42382.740000000005</v>
      </c>
      <c r="AI42">
        <f t="shared" si="4"/>
        <v>298.47</v>
      </c>
      <c r="AJ42">
        <f t="shared" si="13"/>
        <v>170.39999999999998</v>
      </c>
      <c r="AK42" s="71"/>
      <c r="AL42" s="72"/>
      <c r="AM42" s="52"/>
      <c r="AO42" s="52"/>
      <c r="AP42" s="52"/>
    </row>
    <row r="43" spans="1:42" ht="21.75">
      <c r="A43" s="77"/>
      <c r="B43" s="109"/>
      <c r="C43" s="110"/>
      <c r="D43" s="111"/>
      <c r="E43" s="112" t="s">
        <v>1345</v>
      </c>
      <c r="F43" s="113">
        <v>2</v>
      </c>
      <c r="G43" s="112" t="s">
        <v>1245</v>
      </c>
      <c r="H43" s="13">
        <v>30</v>
      </c>
      <c r="I43" s="13" t="s">
        <v>376</v>
      </c>
      <c r="J43" s="114"/>
      <c r="K43" s="108"/>
      <c r="L43" s="108">
        <f t="shared" si="12"/>
        <v>0</v>
      </c>
      <c r="M43" s="124">
        <v>0</v>
      </c>
      <c r="N43" s="115"/>
      <c r="O43" s="50">
        <f t="shared" si="2"/>
        <v>0</v>
      </c>
      <c r="P43" s="98">
        <v>53.5</v>
      </c>
      <c r="Q43" s="49">
        <f t="shared" si="3"/>
        <v>0</v>
      </c>
      <c r="R43" s="12"/>
      <c r="S43" s="116"/>
      <c r="T43" s="12"/>
      <c r="U43" s="117"/>
      <c r="V43" s="12"/>
      <c r="W43" s="12"/>
      <c r="X43" s="116"/>
      <c r="Y43" s="12"/>
      <c r="Z43" s="117"/>
      <c r="AA43" s="11"/>
      <c r="AB43" s="74"/>
      <c r="AC43" s="74"/>
      <c r="AD43" s="68"/>
      <c r="AE43" s="90"/>
      <c r="AF43" s="90"/>
      <c r="AI43" t="e">
        <f t="shared" si="4"/>
        <v>#DIV/0!</v>
      </c>
      <c r="AJ43">
        <f t="shared" si="13"/>
        <v>0</v>
      </c>
      <c r="AK43" s="71"/>
      <c r="AL43" s="72"/>
      <c r="AM43" s="52"/>
      <c r="AO43" s="52"/>
      <c r="AP43" s="52"/>
    </row>
    <row r="44" spans="1:42" ht="21.75">
      <c r="A44" s="77"/>
      <c r="B44" s="109"/>
      <c r="C44" s="110"/>
      <c r="D44" s="111"/>
      <c r="E44" s="112" t="s">
        <v>141</v>
      </c>
      <c r="F44" s="113">
        <v>1</v>
      </c>
      <c r="G44" s="112" t="s">
        <v>1248</v>
      </c>
      <c r="H44" s="13">
        <v>1</v>
      </c>
      <c r="I44" s="13" t="s">
        <v>392</v>
      </c>
      <c r="J44" s="114">
        <v>338</v>
      </c>
      <c r="K44" s="108">
        <v>324</v>
      </c>
      <c r="L44" s="108">
        <f t="shared" si="12"/>
        <v>288</v>
      </c>
      <c r="M44" s="124">
        <v>320</v>
      </c>
      <c r="N44" s="115">
        <v>29</v>
      </c>
      <c r="O44" s="50">
        <f t="shared" si="2"/>
        <v>291</v>
      </c>
      <c r="P44" s="98">
        <v>143.12067</v>
      </c>
      <c r="Q44" s="49">
        <f t="shared" si="3"/>
        <v>41648.114969999995</v>
      </c>
      <c r="R44" s="12"/>
      <c r="S44" s="116"/>
      <c r="T44" s="12"/>
      <c r="U44" s="117"/>
      <c r="V44" s="12"/>
      <c r="W44" s="12"/>
      <c r="X44" s="116"/>
      <c r="Y44" s="12"/>
      <c r="Z44" s="117"/>
      <c r="AA44" s="11"/>
      <c r="AB44" s="74"/>
      <c r="AC44" s="74"/>
      <c r="AD44" s="68"/>
      <c r="AE44" s="90"/>
      <c r="AF44" s="90"/>
      <c r="AG44">
        <v>240</v>
      </c>
      <c r="AH44">
        <v>35607.49999999995</v>
      </c>
      <c r="AI44">
        <f t="shared" si="4"/>
        <v>148.36458333333312</v>
      </c>
      <c r="AJ44">
        <f t="shared" si="13"/>
        <v>288</v>
      </c>
      <c r="AK44" s="71"/>
      <c r="AL44" s="72"/>
      <c r="AM44" s="52"/>
      <c r="AO44" s="52"/>
      <c r="AP44" s="52"/>
    </row>
    <row r="45" spans="1:42" ht="21.75">
      <c r="A45" s="77"/>
      <c r="B45" s="109"/>
      <c r="C45" s="110"/>
      <c r="D45" s="111"/>
      <c r="E45" s="112" t="s">
        <v>167</v>
      </c>
      <c r="F45" s="113">
        <v>1</v>
      </c>
      <c r="G45" s="112" t="s">
        <v>1245</v>
      </c>
      <c r="H45" s="13">
        <v>500</v>
      </c>
      <c r="I45" s="13" t="s">
        <v>376</v>
      </c>
      <c r="J45" s="114">
        <v>19</v>
      </c>
      <c r="K45" s="108"/>
      <c r="L45" s="108">
        <f t="shared" si="12"/>
        <v>7.199999999999999</v>
      </c>
      <c r="M45" s="124">
        <v>9</v>
      </c>
      <c r="N45" s="115">
        <v>15</v>
      </c>
      <c r="O45" s="50">
        <f t="shared" si="2"/>
        <v>-6</v>
      </c>
      <c r="P45" s="98">
        <v>550</v>
      </c>
      <c r="Q45" s="49">
        <f t="shared" si="3"/>
        <v>-3300</v>
      </c>
      <c r="R45" s="12"/>
      <c r="S45" s="116"/>
      <c r="T45" s="12"/>
      <c r="U45" s="117"/>
      <c r="V45" s="12"/>
      <c r="W45" s="12"/>
      <c r="X45" s="116"/>
      <c r="Y45" s="12"/>
      <c r="Z45" s="117"/>
      <c r="AA45" s="11"/>
      <c r="AB45" s="74"/>
      <c r="AC45" s="74"/>
      <c r="AD45" s="68"/>
      <c r="AE45" s="90"/>
      <c r="AF45" s="90"/>
      <c r="AG45">
        <v>6</v>
      </c>
      <c r="AH45">
        <v>3300</v>
      </c>
      <c r="AI45">
        <f t="shared" si="4"/>
        <v>550</v>
      </c>
      <c r="AJ45">
        <f t="shared" si="13"/>
        <v>7.199999999999999</v>
      </c>
      <c r="AK45" s="71"/>
      <c r="AL45" s="72"/>
      <c r="AM45" s="52"/>
      <c r="AO45" s="52"/>
      <c r="AP45" s="52"/>
    </row>
    <row r="46" spans="1:42" ht="21.75">
      <c r="A46" s="77"/>
      <c r="B46" s="109"/>
      <c r="C46" s="110"/>
      <c r="D46" s="111"/>
      <c r="E46" s="112" t="s">
        <v>174</v>
      </c>
      <c r="F46" s="113">
        <v>1</v>
      </c>
      <c r="G46" s="112" t="s">
        <v>1252</v>
      </c>
      <c r="H46" s="13">
        <v>100</v>
      </c>
      <c r="I46" s="13" t="s">
        <v>1253</v>
      </c>
      <c r="J46" s="114">
        <v>112</v>
      </c>
      <c r="K46" s="108"/>
      <c r="L46" s="108">
        <f t="shared" si="12"/>
        <v>66</v>
      </c>
      <c r="M46" s="124">
        <v>70</v>
      </c>
      <c r="N46" s="115"/>
      <c r="O46" s="50">
        <f t="shared" si="2"/>
        <v>70</v>
      </c>
      <c r="P46" s="98">
        <v>256</v>
      </c>
      <c r="Q46" s="49">
        <f t="shared" si="3"/>
        <v>17920</v>
      </c>
      <c r="R46" s="12"/>
      <c r="S46" s="116"/>
      <c r="T46" s="12"/>
      <c r="U46" s="117"/>
      <c r="V46" s="12"/>
      <c r="W46" s="12"/>
      <c r="X46" s="116"/>
      <c r="Y46" s="12"/>
      <c r="Z46" s="117"/>
      <c r="AA46" s="11"/>
      <c r="AB46" s="74"/>
      <c r="AC46" s="74"/>
      <c r="AD46" s="68"/>
      <c r="AE46" s="90"/>
      <c r="AF46" s="90"/>
      <c r="AG46">
        <v>55</v>
      </c>
      <c r="AH46">
        <v>14932.4</v>
      </c>
      <c r="AI46">
        <f t="shared" si="4"/>
        <v>271.4981818181818</v>
      </c>
      <c r="AJ46">
        <f t="shared" si="13"/>
        <v>66</v>
      </c>
      <c r="AK46" s="71"/>
      <c r="AL46" s="72"/>
      <c r="AM46" s="52"/>
      <c r="AO46" s="52"/>
      <c r="AP46" s="52"/>
    </row>
    <row r="47" spans="1:42" ht="21.75">
      <c r="A47" s="77"/>
      <c r="B47" s="109"/>
      <c r="C47" s="110"/>
      <c r="D47" s="111"/>
      <c r="E47" s="112" t="s">
        <v>175</v>
      </c>
      <c r="F47" s="113">
        <v>1</v>
      </c>
      <c r="G47" s="112" t="s">
        <v>1252</v>
      </c>
      <c r="H47" s="13">
        <v>100</v>
      </c>
      <c r="I47" s="13" t="s">
        <v>1253</v>
      </c>
      <c r="J47" s="114">
        <v>55</v>
      </c>
      <c r="K47" s="108"/>
      <c r="L47" s="108">
        <f t="shared" si="12"/>
        <v>28.799999999999997</v>
      </c>
      <c r="M47" s="124">
        <v>30</v>
      </c>
      <c r="N47" s="115"/>
      <c r="O47" s="50">
        <f t="shared" si="2"/>
        <v>30</v>
      </c>
      <c r="P47" s="98">
        <v>352</v>
      </c>
      <c r="Q47" s="49">
        <f t="shared" si="3"/>
        <v>10560</v>
      </c>
      <c r="R47" s="12"/>
      <c r="S47" s="116"/>
      <c r="T47" s="12"/>
      <c r="U47" s="117"/>
      <c r="V47" s="12"/>
      <c r="W47" s="12"/>
      <c r="X47" s="116"/>
      <c r="Y47" s="12"/>
      <c r="Z47" s="117"/>
      <c r="AA47" s="11"/>
      <c r="AB47" s="74"/>
      <c r="AC47" s="74"/>
      <c r="AD47" s="68"/>
      <c r="AE47" s="90"/>
      <c r="AF47" s="90"/>
      <c r="AG47">
        <v>24</v>
      </c>
      <c r="AH47">
        <v>8448</v>
      </c>
      <c r="AI47">
        <f t="shared" si="4"/>
        <v>352</v>
      </c>
      <c r="AJ47">
        <f t="shared" si="13"/>
        <v>28.799999999999997</v>
      </c>
      <c r="AK47" s="71"/>
      <c r="AL47" s="72"/>
      <c r="AM47" s="52"/>
      <c r="AO47" s="52"/>
      <c r="AP47" s="52"/>
    </row>
    <row r="48" spans="1:42" ht="21.75">
      <c r="A48" s="77"/>
      <c r="B48" s="109"/>
      <c r="C48" s="110"/>
      <c r="D48" s="111"/>
      <c r="E48" s="112" t="s">
        <v>1361</v>
      </c>
      <c r="F48" s="113">
        <v>1</v>
      </c>
      <c r="G48" s="112" t="s">
        <v>1245</v>
      </c>
      <c r="H48" s="13">
        <v>30</v>
      </c>
      <c r="I48" s="13" t="s">
        <v>376</v>
      </c>
      <c r="J48" s="114">
        <v>3</v>
      </c>
      <c r="K48" s="108">
        <v>0</v>
      </c>
      <c r="L48" s="108">
        <f t="shared" si="12"/>
        <v>32.400000000000006</v>
      </c>
      <c r="M48" s="124">
        <v>35</v>
      </c>
      <c r="N48" s="115"/>
      <c r="O48" s="50">
        <f t="shared" si="2"/>
        <v>35</v>
      </c>
      <c r="P48" s="98">
        <v>192.6</v>
      </c>
      <c r="Q48" s="49">
        <f t="shared" si="3"/>
        <v>6741</v>
      </c>
      <c r="R48" s="12"/>
      <c r="S48" s="116"/>
      <c r="T48" s="12"/>
      <c r="U48" s="117"/>
      <c r="V48" s="12"/>
      <c r="W48" s="12"/>
      <c r="X48" s="116"/>
      <c r="Y48" s="12"/>
      <c r="Z48" s="117"/>
      <c r="AA48" s="11"/>
      <c r="AB48" s="74"/>
      <c r="AC48" s="74"/>
      <c r="AD48" s="68"/>
      <c r="AE48" s="90"/>
      <c r="AF48" s="90"/>
      <c r="AG48">
        <v>27</v>
      </c>
      <c r="AH48">
        <v>5200.200000000001</v>
      </c>
      <c r="AI48">
        <f t="shared" si="4"/>
        <v>192.60000000000002</v>
      </c>
      <c r="AJ48">
        <f t="shared" si="13"/>
        <v>32.400000000000006</v>
      </c>
      <c r="AK48" s="71"/>
      <c r="AL48" s="72"/>
      <c r="AM48" s="52"/>
      <c r="AO48" s="52"/>
      <c r="AP48" s="52"/>
    </row>
    <row r="49" spans="1:42" ht="21.75">
      <c r="A49" s="77"/>
      <c r="B49" s="109"/>
      <c r="C49" s="110"/>
      <c r="D49" s="111"/>
      <c r="E49" s="112" t="s">
        <v>1362</v>
      </c>
      <c r="F49" s="113">
        <v>1</v>
      </c>
      <c r="G49" s="112" t="s">
        <v>1245</v>
      </c>
      <c r="H49" s="13">
        <v>30</v>
      </c>
      <c r="I49" s="13" t="s">
        <v>376</v>
      </c>
      <c r="J49" s="114"/>
      <c r="K49" s="108">
        <v>32</v>
      </c>
      <c r="L49" s="108">
        <f t="shared" si="12"/>
        <v>14.399999999999999</v>
      </c>
      <c r="M49" s="124">
        <v>16</v>
      </c>
      <c r="N49" s="115"/>
      <c r="O49" s="50">
        <f t="shared" si="2"/>
        <v>16</v>
      </c>
      <c r="P49" s="98">
        <v>706.1999999999999</v>
      </c>
      <c r="Q49" s="49">
        <f t="shared" si="3"/>
        <v>11299.199999999999</v>
      </c>
      <c r="R49" s="12"/>
      <c r="S49" s="116"/>
      <c r="T49" s="12"/>
      <c r="U49" s="117"/>
      <c r="V49" s="12"/>
      <c r="W49" s="12"/>
      <c r="X49" s="116"/>
      <c r="Y49" s="12"/>
      <c r="Z49" s="117"/>
      <c r="AA49" s="11"/>
      <c r="AB49" s="74"/>
      <c r="AC49" s="74"/>
      <c r="AD49" s="68"/>
      <c r="AE49" s="90"/>
      <c r="AF49" s="90"/>
      <c r="AG49">
        <v>12</v>
      </c>
      <c r="AH49">
        <v>8474.4</v>
      </c>
      <c r="AI49">
        <f t="shared" si="4"/>
        <v>706.1999999999999</v>
      </c>
      <c r="AJ49">
        <f t="shared" si="13"/>
        <v>14.399999999999999</v>
      </c>
      <c r="AK49" s="71"/>
      <c r="AL49" s="72"/>
      <c r="AM49" s="52"/>
      <c r="AO49" s="52"/>
      <c r="AP49" s="52"/>
    </row>
    <row r="50" spans="1:42" ht="21.75">
      <c r="A50" s="77"/>
      <c r="B50" s="109"/>
      <c r="C50" s="110"/>
      <c r="D50" s="111"/>
      <c r="E50" s="112" t="s">
        <v>1507</v>
      </c>
      <c r="F50" s="113">
        <v>1</v>
      </c>
      <c r="G50" s="112" t="s">
        <v>1248</v>
      </c>
      <c r="H50" s="13">
        <v>1</v>
      </c>
      <c r="I50" s="13" t="s">
        <v>392</v>
      </c>
      <c r="J50" s="114"/>
      <c r="K50" s="108">
        <v>771</v>
      </c>
      <c r="L50" s="108">
        <f t="shared" si="12"/>
        <v>1044</v>
      </c>
      <c r="M50" s="124">
        <v>1050</v>
      </c>
      <c r="N50" s="115">
        <v>49</v>
      </c>
      <c r="O50" s="50">
        <f t="shared" si="2"/>
        <v>1001</v>
      </c>
      <c r="P50" s="98">
        <v>254</v>
      </c>
      <c r="Q50" s="49">
        <f t="shared" si="3"/>
        <v>254254</v>
      </c>
      <c r="R50" s="12"/>
      <c r="S50" s="116"/>
      <c r="T50" s="12"/>
      <c r="U50" s="117"/>
      <c r="V50" s="12"/>
      <c r="W50" s="12"/>
      <c r="X50" s="116"/>
      <c r="Y50" s="12"/>
      <c r="Z50" s="117"/>
      <c r="AA50" s="11"/>
      <c r="AB50" s="74"/>
      <c r="AC50" s="74"/>
      <c r="AD50" s="68"/>
      <c r="AE50" s="90"/>
      <c r="AF50" s="90"/>
      <c r="AG50">
        <v>870</v>
      </c>
      <c r="AH50">
        <v>220980</v>
      </c>
      <c r="AI50">
        <f t="shared" si="4"/>
        <v>254</v>
      </c>
      <c r="AJ50">
        <f t="shared" si="13"/>
        <v>1044</v>
      </c>
      <c r="AK50" s="71"/>
      <c r="AL50" s="72"/>
      <c r="AM50" s="52"/>
      <c r="AO50" s="52"/>
      <c r="AP50" s="52"/>
    </row>
    <row r="51" spans="1:42" ht="21.75">
      <c r="A51" s="77"/>
      <c r="B51" s="109"/>
      <c r="C51" s="110"/>
      <c r="D51" s="111"/>
      <c r="E51" s="112" t="s">
        <v>481</v>
      </c>
      <c r="F51" s="113">
        <v>1</v>
      </c>
      <c r="G51" s="112" t="s">
        <v>1252</v>
      </c>
      <c r="H51" s="13">
        <v>60</v>
      </c>
      <c r="I51" s="13" t="s">
        <v>1253</v>
      </c>
      <c r="J51" s="114"/>
      <c r="K51" s="108"/>
      <c r="L51" s="108">
        <f t="shared" si="12"/>
        <v>0</v>
      </c>
      <c r="M51" s="124">
        <v>0</v>
      </c>
      <c r="N51" s="115"/>
      <c r="O51" s="50">
        <f t="shared" si="2"/>
        <v>0</v>
      </c>
      <c r="P51" s="98">
        <v>180</v>
      </c>
      <c r="Q51" s="49">
        <f t="shared" si="3"/>
        <v>0</v>
      </c>
      <c r="R51" s="12"/>
      <c r="S51" s="116"/>
      <c r="T51" s="12"/>
      <c r="U51" s="117"/>
      <c r="V51" s="12"/>
      <c r="W51" s="12"/>
      <c r="X51" s="116"/>
      <c r="Y51" s="12"/>
      <c r="Z51" s="117"/>
      <c r="AA51" s="11"/>
      <c r="AB51" s="74"/>
      <c r="AC51" s="74"/>
      <c r="AD51" s="68"/>
      <c r="AE51" s="90"/>
      <c r="AF51" s="90"/>
      <c r="AI51" t="e">
        <f t="shared" si="4"/>
        <v>#DIV/0!</v>
      </c>
      <c r="AJ51">
        <f t="shared" si="13"/>
        <v>0</v>
      </c>
      <c r="AK51" s="71"/>
      <c r="AL51" s="72"/>
      <c r="AM51" s="52"/>
      <c r="AO51" s="52"/>
      <c r="AP51" s="52"/>
    </row>
    <row r="52" spans="1:42" ht="21.75">
      <c r="A52" s="77"/>
      <c r="B52" s="109"/>
      <c r="C52" s="110"/>
      <c r="D52" s="111"/>
      <c r="E52" s="112" t="s">
        <v>188</v>
      </c>
      <c r="F52" s="113">
        <v>1</v>
      </c>
      <c r="G52" s="112" t="s">
        <v>1252</v>
      </c>
      <c r="H52" s="13">
        <v>60</v>
      </c>
      <c r="I52" s="13" t="s">
        <v>1253</v>
      </c>
      <c r="J52" s="114"/>
      <c r="K52" s="108"/>
      <c r="L52" s="108">
        <f t="shared" si="12"/>
        <v>0</v>
      </c>
      <c r="M52" s="124">
        <v>0</v>
      </c>
      <c r="N52" s="115"/>
      <c r="O52" s="50">
        <f t="shared" si="2"/>
        <v>0</v>
      </c>
      <c r="P52" s="98">
        <v>210</v>
      </c>
      <c r="Q52" s="49">
        <f t="shared" si="3"/>
        <v>0</v>
      </c>
      <c r="R52" s="12"/>
      <c r="S52" s="116"/>
      <c r="T52" s="12"/>
      <c r="U52" s="117"/>
      <c r="V52" s="12"/>
      <c r="W52" s="12"/>
      <c r="X52" s="116"/>
      <c r="Y52" s="12"/>
      <c r="Z52" s="117"/>
      <c r="AA52" s="11"/>
      <c r="AB52" s="74"/>
      <c r="AC52" s="74"/>
      <c r="AD52" s="68"/>
      <c r="AE52" s="90"/>
      <c r="AF52" s="90"/>
      <c r="AI52" t="e">
        <f t="shared" si="4"/>
        <v>#DIV/0!</v>
      </c>
      <c r="AJ52">
        <f t="shared" si="13"/>
        <v>0</v>
      </c>
      <c r="AK52" s="71"/>
      <c r="AL52" s="72"/>
      <c r="AM52" s="52"/>
      <c r="AO52" s="52"/>
      <c r="AP52" s="52"/>
    </row>
    <row r="53" spans="1:42" ht="21.75">
      <c r="A53" s="77"/>
      <c r="B53" s="109"/>
      <c r="C53" s="110"/>
      <c r="D53" s="111"/>
      <c r="E53" s="112" t="s">
        <v>512</v>
      </c>
      <c r="F53" s="113">
        <v>1</v>
      </c>
      <c r="G53" s="112" t="s">
        <v>1252</v>
      </c>
      <c r="H53" s="13">
        <v>60</v>
      </c>
      <c r="I53" s="13" t="s">
        <v>1253</v>
      </c>
      <c r="J53" s="114"/>
      <c r="K53" s="108"/>
      <c r="L53" s="108">
        <f t="shared" si="12"/>
        <v>0</v>
      </c>
      <c r="M53" s="124">
        <v>0</v>
      </c>
      <c r="N53" s="115"/>
      <c r="O53" s="50">
        <f t="shared" si="2"/>
        <v>0</v>
      </c>
      <c r="P53" s="98">
        <v>270</v>
      </c>
      <c r="Q53" s="49">
        <f t="shared" si="3"/>
        <v>0</v>
      </c>
      <c r="R53" s="12"/>
      <c r="S53" s="116"/>
      <c r="T53" s="12"/>
      <c r="U53" s="117"/>
      <c r="V53" s="12"/>
      <c r="W53" s="12"/>
      <c r="X53" s="116"/>
      <c r="Y53" s="12"/>
      <c r="Z53" s="117"/>
      <c r="AA53" s="11"/>
      <c r="AB53" s="74"/>
      <c r="AC53" s="74"/>
      <c r="AD53" s="68"/>
      <c r="AE53" s="90"/>
      <c r="AF53" s="90"/>
      <c r="AI53" t="e">
        <f t="shared" si="4"/>
        <v>#DIV/0!</v>
      </c>
      <c r="AJ53">
        <f t="shared" si="13"/>
        <v>0</v>
      </c>
      <c r="AK53" s="71"/>
      <c r="AL53" s="72"/>
      <c r="AM53" s="52"/>
      <c r="AO53" s="52"/>
      <c r="AP53" s="52"/>
    </row>
    <row r="54" spans="1:42" ht="21.75">
      <c r="A54" s="77"/>
      <c r="B54" s="109"/>
      <c r="C54" s="110"/>
      <c r="D54" s="111"/>
      <c r="E54" s="112" t="s">
        <v>1508</v>
      </c>
      <c r="F54" s="113">
        <v>1</v>
      </c>
      <c r="G54" s="112" t="s">
        <v>1245</v>
      </c>
      <c r="H54" s="13">
        <v>30</v>
      </c>
      <c r="I54" s="13" t="s">
        <v>376</v>
      </c>
      <c r="J54" s="114">
        <v>1420</v>
      </c>
      <c r="K54" s="108">
        <v>1436</v>
      </c>
      <c r="L54" s="108">
        <f t="shared" si="12"/>
        <v>669.5999999999999</v>
      </c>
      <c r="M54" s="124">
        <v>1250</v>
      </c>
      <c r="N54" s="115"/>
      <c r="O54" s="50">
        <f t="shared" si="2"/>
        <v>1250</v>
      </c>
      <c r="P54" s="126">
        <v>680.52</v>
      </c>
      <c r="Q54" s="49">
        <f t="shared" si="3"/>
        <v>850650</v>
      </c>
      <c r="R54" s="12"/>
      <c r="S54" s="116"/>
      <c r="T54" s="12"/>
      <c r="U54" s="117"/>
      <c r="V54" s="12"/>
      <c r="W54" s="12"/>
      <c r="X54" s="116"/>
      <c r="Y54" s="12"/>
      <c r="Z54" s="117"/>
      <c r="AA54" s="11"/>
      <c r="AB54" s="74"/>
      <c r="AC54" s="74"/>
      <c r="AD54" s="68"/>
      <c r="AE54" s="90"/>
      <c r="AF54" s="90"/>
      <c r="AG54">
        <v>558</v>
      </c>
      <c r="AH54">
        <v>379730.16000000003</v>
      </c>
      <c r="AI54">
        <f t="shared" si="4"/>
        <v>680.5200000000001</v>
      </c>
      <c r="AJ54">
        <f t="shared" si="13"/>
        <v>669.5999999999999</v>
      </c>
      <c r="AK54" s="71"/>
      <c r="AL54" s="72"/>
      <c r="AM54" s="52"/>
      <c r="AO54" s="52"/>
      <c r="AP54" s="52"/>
    </row>
    <row r="55" spans="1:42" ht="21.75">
      <c r="A55" s="77"/>
      <c r="B55" s="109"/>
      <c r="C55" s="110"/>
      <c r="D55" s="111"/>
      <c r="E55" s="112" t="s">
        <v>567</v>
      </c>
      <c r="F55" s="113">
        <v>1</v>
      </c>
      <c r="G55" s="112" t="s">
        <v>1245</v>
      </c>
      <c r="H55" s="13">
        <v>30</v>
      </c>
      <c r="I55" s="13" t="s">
        <v>376</v>
      </c>
      <c r="J55" s="114">
        <v>69</v>
      </c>
      <c r="K55" s="108">
        <v>138</v>
      </c>
      <c r="L55" s="108">
        <f t="shared" si="12"/>
        <v>277.20000000000005</v>
      </c>
      <c r="M55" s="124">
        <v>300</v>
      </c>
      <c r="N55" s="115"/>
      <c r="O55" s="50">
        <f t="shared" si="2"/>
        <v>300</v>
      </c>
      <c r="P55" s="98">
        <v>342</v>
      </c>
      <c r="Q55" s="49">
        <f t="shared" si="3"/>
        <v>102600</v>
      </c>
      <c r="R55" s="12"/>
      <c r="S55" s="116"/>
      <c r="T55" s="12"/>
      <c r="U55" s="117"/>
      <c r="V55" s="12"/>
      <c r="W55" s="12"/>
      <c r="X55" s="116"/>
      <c r="Y55" s="12"/>
      <c r="Z55" s="117"/>
      <c r="AA55" s="11"/>
      <c r="AB55" s="74"/>
      <c r="AC55" s="74"/>
      <c r="AD55" s="68"/>
      <c r="AE55" s="90"/>
      <c r="AF55" s="90"/>
      <c r="AG55">
        <v>231</v>
      </c>
      <c r="AH55">
        <v>79002</v>
      </c>
      <c r="AI55">
        <f t="shared" si="4"/>
        <v>342</v>
      </c>
      <c r="AJ55">
        <f t="shared" si="13"/>
        <v>277.20000000000005</v>
      </c>
      <c r="AK55" s="71"/>
      <c r="AL55" s="72"/>
      <c r="AM55" s="52"/>
      <c r="AO55" s="52"/>
      <c r="AP55" s="52"/>
    </row>
    <row r="56" spans="1:42" ht="21.75">
      <c r="A56" s="77"/>
      <c r="B56" s="109"/>
      <c r="C56" s="110"/>
      <c r="D56" s="111"/>
      <c r="E56" s="112" t="s">
        <v>1363</v>
      </c>
      <c r="F56" s="113">
        <v>1</v>
      </c>
      <c r="G56" s="112" t="s">
        <v>1245</v>
      </c>
      <c r="H56" s="13">
        <v>30</v>
      </c>
      <c r="I56" s="13" t="s">
        <v>376</v>
      </c>
      <c r="J56" s="114">
        <v>91</v>
      </c>
      <c r="K56" s="108">
        <v>269</v>
      </c>
      <c r="L56" s="108">
        <f t="shared" si="12"/>
        <v>192</v>
      </c>
      <c r="M56" s="124">
        <v>200</v>
      </c>
      <c r="N56" s="115"/>
      <c r="O56" s="50">
        <f t="shared" si="2"/>
        <v>200</v>
      </c>
      <c r="P56" s="98">
        <v>487.6712</v>
      </c>
      <c r="Q56" s="49">
        <f t="shared" si="3"/>
        <v>97534.24</v>
      </c>
      <c r="R56" s="12"/>
      <c r="S56" s="116"/>
      <c r="T56" s="12"/>
      <c r="U56" s="117"/>
      <c r="V56" s="12"/>
      <c r="W56" s="12"/>
      <c r="X56" s="116"/>
      <c r="Y56" s="12"/>
      <c r="Z56" s="117"/>
      <c r="AA56" s="11"/>
      <c r="AB56" s="74"/>
      <c r="AC56" s="74"/>
      <c r="AD56" s="68"/>
      <c r="AE56" s="90"/>
      <c r="AF56" s="90"/>
      <c r="AG56">
        <v>160</v>
      </c>
      <c r="AH56">
        <v>72000</v>
      </c>
      <c r="AI56">
        <f t="shared" si="4"/>
        <v>450</v>
      </c>
      <c r="AJ56">
        <f t="shared" si="13"/>
        <v>192</v>
      </c>
      <c r="AK56" s="71"/>
      <c r="AL56" s="72"/>
      <c r="AM56" s="52"/>
      <c r="AO56" s="52"/>
      <c r="AP56" s="52"/>
    </row>
    <row r="57" spans="1:42" ht="21">
      <c r="A57" s="77"/>
      <c r="B57" s="109"/>
      <c r="C57" s="110"/>
      <c r="D57" s="111"/>
      <c r="E57" s="112" t="s">
        <v>1566</v>
      </c>
      <c r="F57" s="113">
        <v>1</v>
      </c>
      <c r="G57" s="112" t="s">
        <v>1245</v>
      </c>
      <c r="H57" s="13">
        <v>30</v>
      </c>
      <c r="I57" s="13" t="s">
        <v>376</v>
      </c>
      <c r="J57" s="114"/>
      <c r="K57" s="108"/>
      <c r="L57" s="108">
        <f t="shared" si="12"/>
        <v>722.4000000000001</v>
      </c>
      <c r="M57" s="124">
        <v>800</v>
      </c>
      <c r="N57" s="115"/>
      <c r="O57" s="50">
        <f t="shared" si="2"/>
        <v>800</v>
      </c>
      <c r="P57" s="98">
        <v>680.52</v>
      </c>
      <c r="Q57" s="49">
        <f t="shared" si="3"/>
        <v>544416</v>
      </c>
      <c r="R57" s="12"/>
      <c r="S57" s="116"/>
      <c r="T57" s="12"/>
      <c r="U57" s="117"/>
      <c r="V57" s="12"/>
      <c r="W57" s="12"/>
      <c r="X57" s="116"/>
      <c r="Y57" s="12"/>
      <c r="Z57" s="117"/>
      <c r="AA57" s="11"/>
      <c r="AB57" s="74"/>
      <c r="AC57" s="74"/>
      <c r="AD57" s="68"/>
      <c r="AE57" s="90"/>
      <c r="AF57" s="90"/>
      <c r="AG57">
        <v>602</v>
      </c>
      <c r="AH57">
        <v>409673.04000000004</v>
      </c>
      <c r="AI57">
        <f t="shared" si="4"/>
        <v>680.5200000000001</v>
      </c>
      <c r="AJ57">
        <f t="shared" si="13"/>
        <v>722.4000000000001</v>
      </c>
      <c r="AK57" s="71"/>
      <c r="AL57" s="72"/>
      <c r="AM57" s="52"/>
      <c r="AO57" s="52"/>
      <c r="AP57" s="52"/>
    </row>
    <row r="58" spans="1:42" ht="21">
      <c r="A58" s="77"/>
      <c r="B58" s="109"/>
      <c r="C58" s="110"/>
      <c r="D58" s="111"/>
      <c r="E58" s="112" t="s">
        <v>422</v>
      </c>
      <c r="F58" s="113">
        <v>1</v>
      </c>
      <c r="G58" s="112" t="s">
        <v>1252</v>
      </c>
      <c r="H58" s="13">
        <v>100</v>
      </c>
      <c r="I58" s="13" t="s">
        <v>1253</v>
      </c>
      <c r="J58" s="114">
        <v>44</v>
      </c>
      <c r="K58" s="108">
        <v>149</v>
      </c>
      <c r="L58" s="108">
        <f t="shared" si="12"/>
        <v>111.60000000000001</v>
      </c>
      <c r="M58" s="124">
        <v>120</v>
      </c>
      <c r="N58" s="115"/>
      <c r="O58" s="50">
        <f t="shared" si="2"/>
        <v>120</v>
      </c>
      <c r="P58" s="98">
        <v>255.12</v>
      </c>
      <c r="Q58" s="49">
        <f t="shared" si="3"/>
        <v>30614.4</v>
      </c>
      <c r="R58" s="12"/>
      <c r="S58" s="116"/>
      <c r="T58" s="12"/>
      <c r="U58" s="117"/>
      <c r="V58" s="12"/>
      <c r="W58" s="12"/>
      <c r="X58" s="116"/>
      <c r="Y58" s="12"/>
      <c r="Z58" s="117"/>
      <c r="AA58" s="11"/>
      <c r="AB58" s="74"/>
      <c r="AC58" s="74"/>
      <c r="AD58" s="68"/>
      <c r="AE58" s="90"/>
      <c r="AF58" s="90"/>
      <c r="AG58">
        <v>93</v>
      </c>
      <c r="AH58">
        <v>23726.16</v>
      </c>
      <c r="AI58">
        <f t="shared" si="4"/>
        <v>255.12</v>
      </c>
      <c r="AJ58">
        <f t="shared" si="13"/>
        <v>111.60000000000001</v>
      </c>
      <c r="AK58" s="71"/>
      <c r="AL58" s="72"/>
      <c r="AM58" s="52"/>
      <c r="AO58" s="52"/>
      <c r="AP58" s="52"/>
    </row>
    <row r="59" spans="1:42" ht="21">
      <c r="A59" s="77"/>
      <c r="B59" s="109"/>
      <c r="C59" s="110"/>
      <c r="D59" s="111"/>
      <c r="E59" s="112" t="s">
        <v>405</v>
      </c>
      <c r="F59" s="113">
        <v>1</v>
      </c>
      <c r="G59" s="112" t="s">
        <v>1252</v>
      </c>
      <c r="H59" s="13">
        <v>100</v>
      </c>
      <c r="I59" s="13" t="s">
        <v>1253</v>
      </c>
      <c r="J59" s="114">
        <v>12</v>
      </c>
      <c r="K59" s="108">
        <v>47</v>
      </c>
      <c r="L59" s="108">
        <f t="shared" si="12"/>
        <v>25.200000000000003</v>
      </c>
      <c r="M59" s="124">
        <v>30</v>
      </c>
      <c r="N59" s="115"/>
      <c r="O59" s="50">
        <f t="shared" si="2"/>
        <v>30</v>
      </c>
      <c r="P59" s="98">
        <v>802.11</v>
      </c>
      <c r="Q59" s="49">
        <f t="shared" si="3"/>
        <v>24063.3</v>
      </c>
      <c r="R59" s="12"/>
      <c r="S59" s="116"/>
      <c r="T59" s="12"/>
      <c r="U59" s="117"/>
      <c r="V59" s="12"/>
      <c r="W59" s="12"/>
      <c r="X59" s="116"/>
      <c r="Y59" s="12"/>
      <c r="Z59" s="117"/>
      <c r="AA59" s="11"/>
      <c r="AB59" s="74"/>
      <c r="AC59" s="74"/>
      <c r="AD59" s="68"/>
      <c r="AE59" s="90"/>
      <c r="AF59" s="90"/>
      <c r="AG59">
        <v>21</v>
      </c>
      <c r="AH59">
        <v>16844.31</v>
      </c>
      <c r="AI59">
        <f t="shared" si="4"/>
        <v>802.11</v>
      </c>
      <c r="AJ59">
        <f t="shared" si="13"/>
        <v>25.200000000000003</v>
      </c>
      <c r="AK59" s="71"/>
      <c r="AL59" s="72"/>
      <c r="AM59" s="52"/>
      <c r="AO59" s="52"/>
      <c r="AP59" s="52"/>
    </row>
    <row r="60" spans="1:42" ht="21">
      <c r="A60" s="77"/>
      <c r="B60" s="109"/>
      <c r="C60" s="110"/>
      <c r="D60" s="111"/>
      <c r="E60" s="112" t="s">
        <v>210</v>
      </c>
      <c r="F60" s="113">
        <v>1</v>
      </c>
      <c r="G60" s="112" t="s">
        <v>1254</v>
      </c>
      <c r="H60" s="13">
        <v>60</v>
      </c>
      <c r="I60" s="13" t="s">
        <v>1250</v>
      </c>
      <c r="J60" s="114">
        <v>11</v>
      </c>
      <c r="K60" s="108"/>
      <c r="L60" s="108">
        <f t="shared" si="12"/>
        <v>0</v>
      </c>
      <c r="M60" s="124">
        <v>5</v>
      </c>
      <c r="N60" s="115"/>
      <c r="O60" s="50">
        <f t="shared" si="2"/>
        <v>5</v>
      </c>
      <c r="P60" s="98">
        <v>50</v>
      </c>
      <c r="Q60" s="49">
        <f t="shared" si="3"/>
        <v>250</v>
      </c>
      <c r="R60" s="12"/>
      <c r="S60" s="116"/>
      <c r="T60" s="12"/>
      <c r="U60" s="117"/>
      <c r="V60" s="12"/>
      <c r="W60" s="12"/>
      <c r="X60" s="116"/>
      <c r="Y60" s="12"/>
      <c r="Z60" s="117"/>
      <c r="AA60" s="11"/>
      <c r="AB60" s="74"/>
      <c r="AC60" s="74"/>
      <c r="AD60" s="68"/>
      <c r="AE60" s="90"/>
      <c r="AF60" s="90"/>
      <c r="AI60" t="e">
        <f t="shared" si="4"/>
        <v>#DIV/0!</v>
      </c>
      <c r="AJ60">
        <f t="shared" si="13"/>
        <v>0</v>
      </c>
      <c r="AK60" s="71"/>
      <c r="AL60" s="72"/>
      <c r="AM60" s="52"/>
      <c r="AO60" s="52"/>
      <c r="AP60" s="52"/>
    </row>
    <row r="61" spans="1:42" ht="21">
      <c r="A61" s="77"/>
      <c r="B61" s="109"/>
      <c r="C61" s="110"/>
      <c r="D61" s="111"/>
      <c r="E61" s="112" t="s">
        <v>1364</v>
      </c>
      <c r="F61" s="113">
        <v>1</v>
      </c>
      <c r="G61" s="112" t="s">
        <v>1245</v>
      </c>
      <c r="H61" s="13">
        <v>60</v>
      </c>
      <c r="I61" s="13" t="s">
        <v>376</v>
      </c>
      <c r="J61" s="114"/>
      <c r="K61" s="108">
        <v>0</v>
      </c>
      <c r="L61" s="108">
        <f t="shared" si="12"/>
        <v>0</v>
      </c>
      <c r="M61" s="124">
        <v>0</v>
      </c>
      <c r="N61" s="115"/>
      <c r="O61" s="50">
        <f t="shared" si="2"/>
        <v>0</v>
      </c>
      <c r="P61" s="98">
        <v>480.3</v>
      </c>
      <c r="Q61" s="49">
        <f t="shared" si="3"/>
        <v>0</v>
      </c>
      <c r="R61" s="12"/>
      <c r="S61" s="116"/>
      <c r="T61" s="12"/>
      <c r="U61" s="117"/>
      <c r="V61" s="12"/>
      <c r="W61" s="12"/>
      <c r="X61" s="116"/>
      <c r="Y61" s="12"/>
      <c r="Z61" s="117"/>
      <c r="AA61" s="11"/>
      <c r="AB61" s="74"/>
      <c r="AC61" s="74"/>
      <c r="AD61" s="68"/>
      <c r="AE61" s="90"/>
      <c r="AF61" s="90"/>
      <c r="AI61" t="e">
        <f t="shared" si="4"/>
        <v>#DIV/0!</v>
      </c>
      <c r="AJ61">
        <f t="shared" si="13"/>
        <v>0</v>
      </c>
      <c r="AK61" s="71"/>
      <c r="AL61" s="72"/>
      <c r="AM61" s="52"/>
      <c r="AO61" s="52"/>
      <c r="AP61" s="52"/>
    </row>
    <row r="62" spans="1:42" ht="21">
      <c r="A62" s="77"/>
      <c r="B62" s="109"/>
      <c r="C62" s="110"/>
      <c r="D62" s="111"/>
      <c r="E62" s="92"/>
      <c r="F62" s="113"/>
      <c r="G62" s="112"/>
      <c r="H62" s="13"/>
      <c r="I62" s="13"/>
      <c r="J62" s="29"/>
      <c r="K62" s="114"/>
      <c r="L62" s="108"/>
      <c r="M62" s="124"/>
      <c r="N62" s="115"/>
      <c r="O62" s="50"/>
      <c r="P62" s="50"/>
      <c r="Q62" s="49"/>
      <c r="R62" s="12"/>
      <c r="S62" s="116"/>
      <c r="T62" s="12"/>
      <c r="U62" s="117"/>
      <c r="V62" s="12"/>
      <c r="W62" s="12"/>
      <c r="X62" s="116"/>
      <c r="Y62" s="12"/>
      <c r="Z62" s="117"/>
      <c r="AA62" s="11"/>
      <c r="AB62" s="74"/>
      <c r="AC62" s="74"/>
      <c r="AD62" s="68"/>
      <c r="AE62" s="90"/>
      <c r="AF62" s="90"/>
      <c r="AI62" t="e">
        <f t="shared" si="4"/>
        <v>#DIV/0!</v>
      </c>
      <c r="AJ62">
        <f t="shared" si="13"/>
        <v>0</v>
      </c>
      <c r="AK62" s="71"/>
      <c r="AL62" s="72"/>
      <c r="AM62" s="52"/>
      <c r="AO62" s="52"/>
      <c r="AP62" s="52"/>
    </row>
    <row r="63" spans="1:42" ht="21">
      <c r="A63" s="77"/>
      <c r="B63" s="109"/>
      <c r="C63" s="110"/>
      <c r="D63" s="111"/>
      <c r="E63" s="92"/>
      <c r="F63" s="113"/>
      <c r="G63" s="112"/>
      <c r="H63" s="13"/>
      <c r="I63" s="13"/>
      <c r="J63" s="29"/>
      <c r="K63" s="114"/>
      <c r="L63" s="108"/>
      <c r="M63" s="124"/>
      <c r="N63" s="115"/>
      <c r="O63" s="50"/>
      <c r="P63" s="98"/>
      <c r="Q63" s="49"/>
      <c r="R63" s="12"/>
      <c r="S63" s="116"/>
      <c r="T63" s="12"/>
      <c r="U63" s="117"/>
      <c r="V63" s="12"/>
      <c r="W63" s="12"/>
      <c r="X63" s="116"/>
      <c r="Y63" s="12"/>
      <c r="Z63" s="117"/>
      <c r="AA63" s="11"/>
      <c r="AB63" s="74"/>
      <c r="AC63" s="74"/>
      <c r="AD63" s="68"/>
      <c r="AE63" s="90"/>
      <c r="AF63" s="90"/>
      <c r="AI63" t="e">
        <f t="shared" si="4"/>
        <v>#DIV/0!</v>
      </c>
      <c r="AK63" s="71"/>
      <c r="AL63" s="72"/>
      <c r="AM63" s="52"/>
      <c r="AO63" s="52"/>
      <c r="AP63" s="52"/>
    </row>
    <row r="64" spans="6:26" ht="23.25">
      <c r="F64" s="113"/>
      <c r="G64" s="112"/>
      <c r="H64" s="29"/>
      <c r="I64" s="13"/>
      <c r="P64" t="s">
        <v>415</v>
      </c>
      <c r="Q64" s="36">
        <f>SUM(Q5:Q61)</f>
        <v>3609132.4338154164</v>
      </c>
      <c r="S64" s="10">
        <f>SUM(S5:S21)</f>
        <v>0</v>
      </c>
      <c r="U64">
        <f>SUM(U5:U21)</f>
        <v>0</v>
      </c>
      <c r="X64">
        <v>348791.96749999997</v>
      </c>
      <c r="Z64">
        <v>348791.96749999997</v>
      </c>
    </row>
    <row r="65" spans="20:26" ht="21">
      <c r="T65" s="25" t="s">
        <v>1405</v>
      </c>
      <c r="U65" s="22">
        <f>S64+U64</f>
        <v>0</v>
      </c>
      <c r="Y65" s="25" t="s">
        <v>1403</v>
      </c>
      <c r="Z65" s="107">
        <f>X64+Z64</f>
        <v>697583.9349999999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Lek</dc:creator>
  <cp:keywords/>
  <dc:description/>
  <cp:lastModifiedBy>ASUS</cp:lastModifiedBy>
  <cp:lastPrinted>2021-09-29T03:13:00Z</cp:lastPrinted>
  <dcterms:created xsi:type="dcterms:W3CDTF">2005-07-09T15:57:18Z</dcterms:created>
  <dcterms:modified xsi:type="dcterms:W3CDTF">2021-09-29T03:14:17Z</dcterms:modified>
  <cp:category/>
  <cp:version/>
  <cp:contentType/>
  <cp:contentStatus/>
</cp:coreProperties>
</file>